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oleimani\Dropbox\Skills Canada Accounting Documents\Budget Planning\2022\"/>
    </mc:Choice>
  </mc:AlternateContent>
  <xr:revisionPtr revIDLastSave="0" documentId="13_ncr:1_{66550F3E-C0FC-4B4C-A4B1-AA8D7DEB0919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2021 revised" sheetId="12" r:id="rId1"/>
    <sheet name="Budget Calcautions" sheetId="14" state="hidden" r:id="rId2"/>
    <sheet name="projected actual 2021" sheetId="13" state="hidden" r:id="rId3"/>
    <sheet name="Provincial" sheetId="5" r:id="rId4"/>
    <sheet name="Regional" sheetId="3" r:id="rId5"/>
    <sheet name="National" sheetId="4" r:id="rId6"/>
  </sheets>
  <definedNames>
    <definedName name="_xlnm.Print_Area" localSheetId="0">'2021 revised'!$A$1:$R$85</definedName>
    <definedName name="_xlnm.Print_Titles" localSheetId="0">'2021 revised'!$A:$E</definedName>
    <definedName name="_xlnm.Print_Titles" localSheetId="5">National!$A:$C,National!$3:$4</definedName>
    <definedName name="_xlnm.Print_Titles" localSheetId="3">Provincial!$A:$C,Provincial!$3:$4</definedName>
    <definedName name="_xlnm.Print_Titles" localSheetId="4">Regional!$A:$C,Regional!$3:$4</definedName>
    <definedName name="QB_BASIS_4" localSheetId="0" hidden="1">'2021 revised'!#REF!</definedName>
    <definedName name="QB_BASIS_4" localSheetId="5" hidden="1">National!#REF!</definedName>
    <definedName name="QB_BASIS_4" localSheetId="3" hidden="1">Provincial!#REF!</definedName>
    <definedName name="QB_BASIS_4" localSheetId="4" hidden="1">Regional!#REF!</definedName>
    <definedName name="QB_COLUMN_59200" localSheetId="0" hidden="1">'2021 revised'!$G$5</definedName>
    <definedName name="QB_COLUMN_59200" localSheetId="5" hidden="1">National!$E$4</definedName>
    <definedName name="QB_COLUMN_59200" localSheetId="3" hidden="1">Provincial!#REF!</definedName>
    <definedName name="QB_COLUMN_59200" localSheetId="4" hidden="1">Regional!#REF!</definedName>
    <definedName name="QB_COLUMN_62230" localSheetId="5" hidden="1">National!$K$4</definedName>
    <definedName name="QB_COLUMN_62230" localSheetId="3" hidden="1">Provincial!#REF!</definedName>
    <definedName name="QB_COLUMN_62230" localSheetId="4" hidden="1">Regional!#REF!</definedName>
    <definedName name="QB_COLUMN_63620" localSheetId="0" hidden="1">'2021 revised'!#REF!</definedName>
    <definedName name="QB_COLUMN_63620" localSheetId="5" hidden="1">National!$I$4</definedName>
    <definedName name="QB_COLUMN_63620" localSheetId="3" hidden="1">Provincial!#REF!</definedName>
    <definedName name="QB_COLUMN_63620" localSheetId="4" hidden="1">Regional!#REF!</definedName>
    <definedName name="QB_COLUMN_63650" localSheetId="5" hidden="1">National!#REF!</definedName>
    <definedName name="QB_COLUMN_63650" localSheetId="3" hidden="1">Provincial!#REF!</definedName>
    <definedName name="QB_COLUMN_63650" localSheetId="4" hidden="1">Regional!#REF!</definedName>
    <definedName name="QB_COLUMN_64430" localSheetId="0" hidden="1">'2021 revised'!#REF!</definedName>
    <definedName name="QB_COLUMN_76210" localSheetId="0" hidden="1">'2021 revised'!$K$5</definedName>
    <definedName name="QB_COLUMN_76210" localSheetId="5" hidden="1">National!$G$4</definedName>
    <definedName name="QB_COLUMN_76210" localSheetId="3" hidden="1">Provincial!#REF!</definedName>
    <definedName name="QB_COLUMN_76210" localSheetId="4" hidden="1">Regional!#REF!</definedName>
    <definedName name="QB_COLUMN_76240" localSheetId="5" hidden="1">National!#REF!</definedName>
    <definedName name="QB_COLUMN_76240" localSheetId="3" hidden="1">Provincial!#REF!</definedName>
    <definedName name="QB_COLUMN_76240" localSheetId="4" hidden="1">Regional!#REF!</definedName>
    <definedName name="QB_COLUMN_76260" localSheetId="5" hidden="1">National!#REF!</definedName>
    <definedName name="QB_COLUMN_76260" localSheetId="3" hidden="1">Provincial!#REF!</definedName>
    <definedName name="QB_COLUMN_76260" localSheetId="4" hidden="1">Regional!#REF!</definedName>
    <definedName name="QB_COMPANY_0" localSheetId="0" hidden="1">'2021 revised'!$A$1</definedName>
    <definedName name="QB_COMPANY_0" localSheetId="5" hidden="1">National!$A$1</definedName>
    <definedName name="QB_COMPANY_0" localSheetId="3" hidden="1">Provincial!$A$1</definedName>
    <definedName name="QB_COMPANY_0" localSheetId="4" hidden="1">Regional!$A$1</definedName>
    <definedName name="QB_DATA_0" localSheetId="0" hidden="1">'2021 revised'!$8:$8,'2021 revised'!$10:$10,'2021 revised'!#REF!,'2021 revised'!$12:$12,'2021 revised'!$14:$14,'2021 revised'!$15:$15,'2021 revised'!#REF!,'2021 revised'!#REF!,'2021 revised'!#REF!,'2021 revised'!#REF!,'2021 revised'!#REF!,'2021 revised'!#REF!,'2021 revised'!$20:$20,'2021 revised'!#REF!,'2021 revised'!#REF!,'2021 revised'!$24:$24</definedName>
    <definedName name="QB_DATA_0" localSheetId="5" hidden="1">National!$6:$6,National!$7:$7,National!$8:$8,National!$9:$9,National!$10:$10</definedName>
    <definedName name="QB_DATA_0" localSheetId="3" hidden="1">Provincial!$6:$6,Provincial!$7:$7,Provincial!$8:$8,Provincial!$9:$9,Provincial!$10:$10,Provincial!$11:$11,Provincial!$12:$12,Provincial!$13:$13,Provincial!$14:$14,Provincial!$15:$15,Provincial!$16:$16,Provincial!$17:$17,Provincial!#REF!</definedName>
    <definedName name="QB_DATA_0" localSheetId="4" hidden="1">Regional!$6:$6,Regional!$7:$7,Regional!$8:$8,Regional!$9:$9,Regional!$10:$10,Regional!$11:$11,Regional!$12:$12,Regional!$13:$13,Regional!$14:$14,Regional!$15:$15,Regional!$16:$16,Regional!$17:$17,Regional!$18:$18,Regional!$19:$19,Regional!$20:$20,Regional!#REF!</definedName>
    <definedName name="QB_DATA_1" localSheetId="0" hidden="1">'2021 revised'!$25:$25,'2021 revised'!#REF!,'2021 revised'!$26:$26,'2021 revised'!$28:$28,'2021 revised'!$31:$31,'2021 revised'!#REF!,'2021 revised'!#REF!,'2021 revised'!#REF!,'2021 revised'!$32:$32,'2021 revised'!#REF!,'2021 revised'!#REF!,'2021 revised'!#REF!,'2021 revised'!$36:$36,'2021 revised'!$37:$37,'2021 revised'!$38:$38,'2021 revised'!$39:$39</definedName>
    <definedName name="QB_DATA_2" localSheetId="0" hidden="1">'2021 revised'!$40:$40,'2021 revised'!$41:$41,'2021 revised'!$42:$42,'2021 revised'!$43:$43,'2021 revised'!$44:$44,'2021 revised'!$45:$45,'2021 revised'!$46:$46,'2021 revised'!$47:$47,'2021 revised'!$48:$48,'2021 revised'!#REF!,'2021 revised'!$49:$49,'2021 revised'!$50:$50,'2021 revised'!$51:$51,'2021 revised'!$52:$52,'2021 revised'!$53:$53,'2021 revised'!$54:$54</definedName>
    <definedName name="QB_DATA_3" localSheetId="0" hidden="1">'2021 revised'!#REF!,'2021 revised'!#REF!,'2021 revised'!$55:$55,'2021 revised'!$56:$56,'2021 revised'!#REF!,'2021 revised'!$57:$57,'2021 revised'!$63:$63</definedName>
    <definedName name="QB_DATE_1" localSheetId="0" hidden="1">'2021 revised'!#REF!</definedName>
    <definedName name="QB_DATE_1" localSheetId="5" hidden="1">National!#REF!</definedName>
    <definedName name="QB_DATE_1" localSheetId="3" hidden="1">Provincial!#REF!</definedName>
    <definedName name="QB_DATE_1" localSheetId="4" hidden="1">Regional!#REF!</definedName>
    <definedName name="QB_FORMULA_0" localSheetId="0" hidden="1">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</definedName>
    <definedName name="QB_FORMULA_0" localSheetId="5" hidden="1">National!$I$6,National!#REF!,National!$I$7,National!#REF!,National!$I$8,National!#REF!,National!$I$9,National!#REF!,National!$I$10,National!#REF!,National!$E$11,National!$G$11,National!$I$11,National!$K$11,National!#REF!,National!#REF!</definedName>
    <definedName name="QB_FORMULA_0" localSheetId="3" hidden="1">Provincial!#REF!,Provincial!#REF!,Provincial!#REF!,Provincial!#REF!,Provincial!#REF!,Provincial!#REF!,Provincial!#REF!,Provincial!#REF!,Provincial!#REF!,Provincial!#REF!,Provincial!#REF!,Provincial!#REF!,Provincial!#REF!,Provincial!#REF!,Provincial!#REF!,Provincial!#REF!</definedName>
    <definedName name="QB_FORMULA_0" localSheetId="4" hidden="1">Regional!#REF!,Regional!#REF!,Regional!#REF!,Regional!#REF!,Regional!#REF!,Regional!#REF!,Regional!#REF!,Regional!#REF!,Regional!#REF!,Regional!#REF!,Regional!#REF!,Regional!#REF!,Regional!#REF!,Regional!#REF!,Regional!#REF!,Regional!#REF!</definedName>
    <definedName name="QB_FORMULA_1" localSheetId="0" hidden="1">'2021 revised'!#REF!,'2021 revised'!#REF!,'2021 revised'!#REF!,'2021 revised'!#REF!,'2021 revised'!#REF!,'2021 revised'!#REF!,'2021 revised'!#REF!,'2021 revised'!#REF!,'2021 revised'!#REF!,'2021 revised'!#REF!,'2021 revised'!#REF!,'2021 revised'!#REF!,'2021 revised'!$G$22,'2021 revised'!$K$22,'2021 revised'!#REF!,'2021 revised'!#REF!</definedName>
    <definedName name="QB_FORMULA_1" localSheetId="5" hidden="1">National!#REF!,National!$E$12,National!$G$12,National!$I$12,National!$K$12,National!#REF!,National!#REF!,National!#REF!</definedName>
    <definedName name="QB_FORMULA_1" localSheetId="3" hidden="1">Provincial!#REF!,Provincial!#REF!,Provincial!#REF!,Provincial!#REF!,Provincial!#REF!,Provincial!#REF!,Provincial!#REF!,Provincial!#REF!,Provincial!#REF!,Provincial!#REF!,Provincial!#REF!,Provincial!#REF!,Provincial!#REF!,Provincial!#REF!,Provincial!#REF!,Provincial!#REF!</definedName>
    <definedName name="QB_FORMULA_1" localSheetId="4" hidden="1">Regional!#REF!,Regional!#REF!,Regional!#REF!,Regional!#REF!,Regional!#REF!,Regional!#REF!,Regional!#REF!,Regional!#REF!,Regional!#REF!,Regional!#REF!,Regional!#REF!,Regional!#REF!,Regional!#REF!,Regional!#REF!,Regional!#REF!,Regional!#REF!</definedName>
    <definedName name="QB_FORMULA_2" localSheetId="0" hidden="1">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</definedName>
    <definedName name="QB_FORMULA_2" localSheetId="3" hidden="1">Provincial!#REF!,Provincial!#REF!,Provincial!#REF!,Provincial!#REF!,Provincial!#REF!,Provincial!#REF!,Provincial!#REF!,Provincial!#REF!</definedName>
    <definedName name="QB_FORMULA_2" localSheetId="4" hidden="1">Regional!#REF!,Regional!#REF!,Regional!#REF!,Regional!#REF!,Regional!#REF!,Regional!#REF!,Regional!#REF!,Regional!#REF!,Regional!#REF!,Regional!#REF!,Regional!#REF!,Regional!#REF!,Regional!#REF!,Regional!#REF!</definedName>
    <definedName name="QB_FORMULA_3" localSheetId="0" hidden="1">'2021 revised'!#REF!,'2021 revised'!#REF!,'2021 revised'!#REF!,'2021 revised'!#REF!,'2021 revised'!#REF!,'2021 revised'!#REF!,'2021 revised'!#REF!,'2021 revised'!#REF!,'2021 revised'!#REF!,'2021 revised'!#REF!,'2021 revised'!$G$33,'2021 revised'!$K$33,'2021 revised'!#REF!,'2021 revised'!#REF!,'2021 revised'!$G$34,'2021 revised'!$K$34</definedName>
    <definedName name="QB_FORMULA_4" localSheetId="0" hidden="1">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</definedName>
    <definedName name="QB_FORMULA_5" localSheetId="0" hidden="1">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</definedName>
    <definedName name="QB_FORMULA_6" localSheetId="0" hidden="1">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revised'!#REF!,'2021 revised'!#REF!</definedName>
    <definedName name="QB_FORMULA_7" localSheetId="0" hidden="1">'2021 revised'!#REF!,'2021 revised'!#REF!,'2021 revised'!#REF!,'2021 revised'!#REF!,'2021 revised'!#REF!,'2021 revised'!#REF!,'2021 revised'!#REF!,'2021 revised'!#REF!,'2021 revised'!$G$55,'2021 revised'!$K$55,'2021 revised'!#REF!,'2021 revised'!#REF!,'2021 revised'!$G$56,'2021 revised'!$K$56,'2021 revised'!#REF!,'2021 revised'!#REF!</definedName>
    <definedName name="QB_FORMULA_8" localSheetId="0" hidden="1">'2021 revised'!#REF!,'2021 revised'!#REF!,'2021 revised'!#REF!,'2021 revised'!#REF!,'2021 revised'!#REF!,'2021 revised'!#REF!,'2021 revised'!#REF!,'2021 revised'!#REF!,'2021 revised'!#REF!,'2021 revised'!#REF!,'2021 revised'!$G$59,'2021 revised'!$K$59,'2021 revised'!#REF!,'2021 revised'!#REF!</definedName>
    <definedName name="QB_ROW_106240" localSheetId="0" hidden="1">'2021 revised'!$E$8</definedName>
    <definedName name="QB_ROW_108240" localSheetId="0" hidden="1">'2021 revised'!$E$10</definedName>
    <definedName name="QB_ROW_109240" localSheetId="0" hidden="1">'2021 revised'!#REF!</definedName>
    <definedName name="QB_ROW_110240" localSheetId="0" hidden="1">'2021 revised'!$E$12</definedName>
    <definedName name="QB_ROW_112240" localSheetId="0" hidden="1">'2021 revised'!$E$14</definedName>
    <definedName name="QB_ROW_121240" localSheetId="0" hidden="1">'2021 revised'!#REF!</definedName>
    <definedName name="QB_ROW_122240" localSheetId="0" hidden="1">'2021 revised'!$E$49</definedName>
    <definedName name="QB_ROW_123240" localSheetId="0" hidden="1">'2021 revised'!$E$54</definedName>
    <definedName name="QB_ROW_124240" localSheetId="0" hidden="1">'2021 revised'!$E$52</definedName>
    <definedName name="QB_ROW_127240" localSheetId="0" hidden="1">'2021 revised'!$E$48</definedName>
    <definedName name="QB_ROW_132240" localSheetId="0" hidden="1">'2021 revised'!$E$37</definedName>
    <definedName name="QB_ROW_133240" localSheetId="0" hidden="1">'2021 revised'!$E$36</definedName>
    <definedName name="QB_ROW_135240" localSheetId="0" hidden="1">'2021 revised'!$E$38</definedName>
    <definedName name="QB_ROW_136240" localSheetId="0" hidden="1">'2021 revised'!$E$41</definedName>
    <definedName name="QB_ROW_157240" localSheetId="0" hidden="1">'2021 revised'!$E$26</definedName>
    <definedName name="QB_ROW_161240" localSheetId="0" hidden="1">'2021 revised'!$E$28</definedName>
    <definedName name="QB_ROW_163240" localSheetId="0" hidden="1">'2021 revised'!$E$31</definedName>
    <definedName name="QB_ROW_167240" localSheetId="0" hidden="1">'2021 revised'!#REF!</definedName>
    <definedName name="QB_ROW_168240" localSheetId="0" hidden="1">'2021 revised'!$E$32</definedName>
    <definedName name="QB_ROW_169240" localSheetId="0" hidden="1">'2021 revised'!#REF!</definedName>
    <definedName name="QB_ROW_170240" localSheetId="0" hidden="1">'2021 revised'!$E$39</definedName>
    <definedName name="QB_ROW_171240" localSheetId="0" hidden="1">'2021 revised'!#REF!</definedName>
    <definedName name="QB_ROW_18301" localSheetId="0" hidden="1">'2021 revised'!$A$59</definedName>
    <definedName name="QB_ROW_19011" localSheetId="0" hidden="1">'2021 revised'!$B$6</definedName>
    <definedName name="QB_ROW_19311" localSheetId="0" hidden="1">'2021 revised'!$B$56</definedName>
    <definedName name="QB_ROW_20031" localSheetId="0" hidden="1">'2021 revised'!$D$7</definedName>
    <definedName name="QB_ROW_20331" localSheetId="0" hidden="1">'2021 revised'!$D$22</definedName>
    <definedName name="QB_ROW_21031" localSheetId="0" hidden="1">'2021 revised'!$D$35</definedName>
    <definedName name="QB_ROW_21331" localSheetId="0" hidden="1">'2021 revised'!$D$55</definedName>
    <definedName name="QB_ROW_22011" localSheetId="0" hidden="1">'2021 revised'!#REF!</definedName>
    <definedName name="QB_ROW_22311" localSheetId="0" hidden="1">'2021 revised'!#REF!</definedName>
    <definedName name="QB_ROW_23021" localSheetId="0" hidden="1">'2021 revised'!$C$57</definedName>
    <definedName name="QB_ROW_230240" localSheetId="0" hidden="1">'2021 revised'!#REF!</definedName>
    <definedName name="QB_ROW_23321" localSheetId="0" hidden="1">'2021 revised'!#REF!</definedName>
    <definedName name="QB_ROW_25240" localSheetId="0" hidden="1">'2021 revised'!$E$46</definedName>
    <definedName name="QB_ROW_263240" localSheetId="0" hidden="1">'2021 revised'!#REF!</definedName>
    <definedName name="QB_ROW_264240" localSheetId="0" hidden="1">'2021 revised'!#REF!</definedName>
    <definedName name="QB_ROW_266240" localSheetId="0" hidden="1">'2021 revised'!$E$40</definedName>
    <definedName name="QB_ROW_267240" localSheetId="0" hidden="1">'2021 revised'!$E$42</definedName>
    <definedName name="QB_ROW_268240" localSheetId="0" hidden="1">'2021 revised'!$E$53</definedName>
    <definedName name="QB_ROW_273240" localSheetId="0" hidden="1">'2021 revised'!$E$51</definedName>
    <definedName name="QB_ROW_274240" localSheetId="0" hidden="1">'2021 revised'!#REF!</definedName>
    <definedName name="QB_ROW_275240" localSheetId="0" hidden="1">'2021 revised'!#REF!</definedName>
    <definedName name="QB_ROW_279240" localSheetId="0" hidden="1">'2021 revised'!#REF!</definedName>
    <definedName name="QB_ROW_284240" localSheetId="0" hidden="1">'2021 revised'!#REF!</definedName>
    <definedName name="QB_ROW_287240" localSheetId="0" hidden="1">'2021 revised'!#REF!</definedName>
    <definedName name="QB_ROW_290240" localSheetId="0" hidden="1">'2021 revised'!#REF!</definedName>
    <definedName name="QB_ROW_293240" localSheetId="0" hidden="1">'2021 revised'!$E$50</definedName>
    <definedName name="QB_ROW_299240" localSheetId="0" hidden="1">'2021 revised'!$E$24</definedName>
    <definedName name="QB_ROW_300240" localSheetId="0" hidden="1">'2021 revised'!#REF!</definedName>
    <definedName name="QB_ROW_301240" localSheetId="0" hidden="1">'2021 revised'!$E$25</definedName>
    <definedName name="QB_ROW_30240" localSheetId="0" hidden="1">'2021 revised'!$E$15</definedName>
    <definedName name="QB_ROW_304230" localSheetId="0" hidden="1">'2021 revised'!$B$58</definedName>
    <definedName name="QB_ROW_305240" localSheetId="0" hidden="1">'2021 revised'!#REF!</definedName>
    <definedName name="QB_ROW_306240" localSheetId="0" hidden="1">'2021 revised'!#REF!</definedName>
    <definedName name="QB_ROW_309240" localSheetId="0" hidden="1">'2021 revised'!#REF!</definedName>
    <definedName name="QB_ROW_31240" localSheetId="0" hidden="1">'2021 revised'!#REF!</definedName>
    <definedName name="QB_ROW_31301" localSheetId="5" hidden="1">National!$A$12</definedName>
    <definedName name="QB_ROW_31301" localSheetId="3" hidden="1">Provincial!$A$19</definedName>
    <definedName name="QB_ROW_31301" localSheetId="4" hidden="1">Regional!$A$22</definedName>
    <definedName name="QB_ROW_32240" localSheetId="0" hidden="1">'2021 revised'!#REF!</definedName>
    <definedName name="QB_ROW_48240" localSheetId="0" hidden="1">'2021 revised'!#REF!</definedName>
    <definedName name="QB_ROW_59240" localSheetId="0" hidden="1">'2021 revised'!$E$44</definedName>
    <definedName name="QB_ROW_60240" localSheetId="0" hidden="1">'2021 revised'!$E$45</definedName>
    <definedName name="QB_ROW_61240" localSheetId="0" hidden="1">'2021 revised'!$E$43</definedName>
    <definedName name="QB_ROW_62240" localSheetId="0" hidden="1">'2021 revised'!$E$47</definedName>
    <definedName name="QB_ROW_671010" localSheetId="4" hidden="1">Regional!$B$5</definedName>
    <definedName name="QB_ROW_671310" localSheetId="4" hidden="1">Regional!$B$21</definedName>
    <definedName name="QB_ROW_672220" localSheetId="4" hidden="1">Regional!#REF!</definedName>
    <definedName name="QB_ROW_687010" localSheetId="5" hidden="1">National!$B$5</definedName>
    <definedName name="QB_ROW_687310" localSheetId="5" hidden="1">National!$B$11</definedName>
    <definedName name="QB_ROW_69240" localSheetId="0" hidden="1">'2021 revised'!#REF!</definedName>
    <definedName name="QB_ROW_701010" localSheetId="3" hidden="1">Provincial!$B$5</definedName>
    <definedName name="QB_ROW_701310" localSheetId="3" hidden="1">Provincial!$B$18</definedName>
    <definedName name="QB_ROW_713220" localSheetId="3" hidden="1">Provincial!#REF!</definedName>
    <definedName name="QB_ROW_73240" localSheetId="0" hidden="1">'2021 revised'!$E$20</definedName>
    <definedName name="QB_ROW_758220" localSheetId="4" hidden="1">Regional!$C$6</definedName>
    <definedName name="QB_ROW_759220" localSheetId="4" hidden="1">Regional!$C$7</definedName>
    <definedName name="QB_ROW_760220" localSheetId="4" hidden="1">Regional!$C$8</definedName>
    <definedName name="QB_ROW_761220" localSheetId="4" hidden="1">Regional!$C$9</definedName>
    <definedName name="QB_ROW_762220" localSheetId="4" hidden="1">Regional!$C$10</definedName>
    <definedName name="QB_ROW_763220" localSheetId="4" hidden="1">Regional!$C$11</definedName>
    <definedName name="QB_ROW_764220" localSheetId="4" hidden="1">Regional!$C$12</definedName>
    <definedName name="QB_ROW_765220" localSheetId="4" hidden="1">Regional!$C$13</definedName>
    <definedName name="QB_ROW_766220" localSheetId="4" hidden="1">Regional!$C$14</definedName>
    <definedName name="QB_ROW_767220" localSheetId="4" hidden="1">Regional!$C$15</definedName>
    <definedName name="QB_ROW_768220" localSheetId="4" hidden="1">Regional!$C$16</definedName>
    <definedName name="QB_ROW_769220" localSheetId="4" hidden="1">Regional!$C$17</definedName>
    <definedName name="QB_ROW_770220" localSheetId="4" hidden="1">Regional!$C$18</definedName>
    <definedName name="QB_ROW_771220" localSheetId="4" hidden="1">Regional!$C$19</definedName>
    <definedName name="QB_ROW_772220" localSheetId="4" hidden="1">Regional!$C$20</definedName>
    <definedName name="QB_ROW_795220" localSheetId="3" hidden="1">Provincial!$C$6</definedName>
    <definedName name="QB_ROW_796220" localSheetId="3" hidden="1">Provincial!$C$7</definedName>
    <definedName name="QB_ROW_797220" localSheetId="3" hidden="1">Provincial!$C$8</definedName>
    <definedName name="QB_ROW_798220" localSheetId="3" hidden="1">Provincial!$C$9</definedName>
    <definedName name="QB_ROW_799220" localSheetId="3" hidden="1">Provincial!$C$10</definedName>
    <definedName name="QB_ROW_800220" localSheetId="3" hidden="1">Provincial!$C$11</definedName>
    <definedName name="QB_ROW_801220" localSheetId="3" hidden="1">Provincial!$C$12</definedName>
    <definedName name="QB_ROW_802220" localSheetId="3" hidden="1">Provincial!$C$13</definedName>
    <definedName name="QB_ROW_803220" localSheetId="3" hidden="1">Provincial!$C$14</definedName>
    <definedName name="QB_ROW_804220" localSheetId="3" hidden="1">Provincial!$C$15</definedName>
    <definedName name="QB_ROW_805220" localSheetId="3" hidden="1">Provincial!$C$16</definedName>
    <definedName name="QB_ROW_806220" localSheetId="3" hidden="1">Provincial!$C$17</definedName>
    <definedName name="QB_ROW_807220" localSheetId="5" hidden="1">National!$C$7</definedName>
    <definedName name="QB_ROW_808220" localSheetId="5" hidden="1">National!$C$10</definedName>
    <definedName name="QB_ROW_809220" localSheetId="5" hidden="1">National!$C$9</definedName>
    <definedName name="QB_ROW_810220" localSheetId="5" hidden="1">National!$C$8</definedName>
    <definedName name="QB_ROW_86321" localSheetId="0" hidden="1">'2021 revised'!$C$34</definedName>
    <definedName name="QB_ROW_87031" localSheetId="0" hidden="1">'2021 revised'!$D$23</definedName>
    <definedName name="QB_ROW_87331" localSheetId="0" hidden="1">'2021 revised'!$D$33</definedName>
    <definedName name="QB_ROW_9240" localSheetId="0" hidden="1">'2021 revised'!#REF!</definedName>
    <definedName name="QB_ROW_934220" localSheetId="5" hidden="1">National!$C$6</definedName>
    <definedName name="QB_SUBTITLE_3" localSheetId="0" hidden="1">'2021 revised'!#REF!</definedName>
    <definedName name="QB_SUBTITLE_3" localSheetId="5" hidden="1">National!#REF!</definedName>
    <definedName name="QB_SUBTITLE_3" localSheetId="3" hidden="1">Provincial!#REF!</definedName>
    <definedName name="QB_SUBTITLE_3" localSheetId="4" hidden="1">Regional!#REF!</definedName>
    <definedName name="QB_TIME_5" localSheetId="0" hidden="1">'2021 revised'!#REF!</definedName>
    <definedName name="QB_TIME_5" localSheetId="5" hidden="1">National!#REF!</definedName>
    <definedName name="QB_TIME_5" localSheetId="3" hidden="1">Provincial!#REF!</definedName>
    <definedName name="QB_TIME_5" localSheetId="4" hidden="1">Regional!#REF!</definedName>
    <definedName name="QB_TITLE_2" localSheetId="0" hidden="1">'2021 revised'!$A$2</definedName>
    <definedName name="QB_TITLE_2" localSheetId="5" hidden="1">National!$A$2</definedName>
    <definedName name="QB_TITLE_2" localSheetId="3" hidden="1">Provincial!$A$2</definedName>
    <definedName name="QB_TITLE_2" localSheetId="4" hidden="1">Regional!$A$2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0">"C:\Users\Public\Documents\Intuit\QuickBooks\Company Files\Skills Canada, BC jul2017.qbw"</definedName>
    <definedName name="QBCOMPANYFILENAME" localSheetId="5">"C:\Users\Public\Documents\Intuit\QuickBooks\Company Files\Skills Canada, BC jul2017.qbw"</definedName>
    <definedName name="QBCOMPANYFILENAME" localSheetId="3">"C:\Users\Public\Documents\Intuit\QuickBooks\Company Files\Skills Canada, BC jul2017.qbw"</definedName>
    <definedName name="QBCOMPANYFILENAME" localSheetId="4">"C:\Users\Public\Documents\Intuit\QuickBooks\Company Files\Skills Canada, BC jul2017.qbw"</definedName>
    <definedName name="QBENDDATE" localSheetId="0">20181024</definedName>
    <definedName name="QBENDDATE" localSheetId="5">20181116</definedName>
    <definedName name="QBENDDATE" localSheetId="3">20181116</definedName>
    <definedName name="QBENDDATE" localSheetId="4">20181116</definedName>
    <definedName name="QBHEADERSONSCREEN" localSheetId="0">TRUE</definedName>
    <definedName name="QBHEADERSONSCREEN" localSheetId="5">TRUE</definedName>
    <definedName name="QBHEADERSONSCREEN" localSheetId="3">TRUE</definedName>
    <definedName name="QBHEADERSONSCREEN" localSheetId="4">TRUE</definedName>
    <definedName name="QBMETADATASIZE" localSheetId="0">5914</definedName>
    <definedName name="QBMETADATASIZE" localSheetId="5">5942</definedName>
    <definedName name="QBMETADATASIZE" localSheetId="3">5974</definedName>
    <definedName name="QBMETADATASIZE" localSheetId="4">5982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0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0">"59a6c43d7db64ef6903534fae1175bcc"</definedName>
    <definedName name="QBREPORTCOMPANYID" localSheetId="5">"59a6c43d7db64ef6903534fae1175bcc"</definedName>
    <definedName name="QBREPORTCOMPANYID" localSheetId="3">"59a6c43d7db64ef6903534fae1175bcc"</definedName>
    <definedName name="QBREPORTCOMPANYID" localSheetId="4">"59a6c43d7db64ef6903534fae1175bcc"</definedName>
    <definedName name="QBREPORTCOMPARECOL_ANNUALBUDGET" localSheetId="0">FALSE</definedName>
    <definedName name="QBREPORTCOMPARECOL_ANNUALBUDGET" localSheetId="5">TRUE</definedName>
    <definedName name="QBREPORTCOMPARECOL_ANNUALBUDGET" localSheetId="3">TRUE</definedName>
    <definedName name="QBREPORTCOMPARECOL_ANNUALBUDGET" localSheetId="4">TRUE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0">TRUE</definedName>
    <definedName name="QBREPORTCOMPARECOL_BUDDIFF" localSheetId="5">TRUE</definedName>
    <definedName name="QBREPORTCOMPARECOL_BUDDIFF" localSheetId="3">TRUE</definedName>
    <definedName name="QBREPORTCOMPARECOL_BUDDIFF" localSheetId="4">TRUE</definedName>
    <definedName name="QBREPORTCOMPARECOL_BUDGET" localSheetId="0">TRUE</definedName>
    <definedName name="QBREPORTCOMPARECOL_BUDGET" localSheetId="5">TRUE</definedName>
    <definedName name="QBREPORTCOMPARECOL_BUDGET" localSheetId="3">TRUE</definedName>
    <definedName name="QBREPORTCOMPARECOL_BUDGET" localSheetId="4">TRUE</definedName>
    <definedName name="QBREPORTCOMPARECOL_BUDPCT" localSheetId="0">TRUE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TRUE</definedName>
    <definedName name="QBREPORTCOMPARECOL_YTD" localSheetId="3">TRUE</definedName>
    <definedName name="QBREPORTCOMPARECOL_YTD" localSheetId="4">TRUE</definedName>
    <definedName name="QBREPORTCOMPARECOL_YTDBUDGET" localSheetId="0">FALSE</definedName>
    <definedName name="QBREPORTCOMPARECOL_YTDBUDGET" localSheetId="5">TRUE</definedName>
    <definedName name="QBREPORTCOMPARECOL_YTDBUDGET" localSheetId="3">TRUE</definedName>
    <definedName name="QBREPORTCOMPARECOL_YTDBUDGET" localSheetId="4">TRUE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13</definedName>
    <definedName name="QBREPORTROWAXIS" localSheetId="3">13</definedName>
    <definedName name="QBREPORTROWAXIS" localSheetId="4">13</definedName>
    <definedName name="QBREPORTSUBCOLAXIS" localSheetId="0">24</definedName>
    <definedName name="QBREPORTSUBCOLAXIS" localSheetId="5">24</definedName>
    <definedName name="QBREPORTSUBCOLAXIS" localSheetId="3">24</definedName>
    <definedName name="QBREPORTSUBCOLAXIS" localSheetId="4">24</definedName>
    <definedName name="QBREPORTTYPE" localSheetId="0">288</definedName>
    <definedName name="QBREPORTTYPE" localSheetId="5">273</definedName>
    <definedName name="QBREPORTTYPE" localSheetId="3">273</definedName>
    <definedName name="QBREPORTTYPE" localSheetId="4">273</definedName>
    <definedName name="QBROWHEADERS" localSheetId="0">5</definedName>
    <definedName name="QBROWHEADERS" localSheetId="5">3</definedName>
    <definedName name="QBROWHEADERS" localSheetId="3">3</definedName>
    <definedName name="QBROWHEADERS" localSheetId="4">3</definedName>
    <definedName name="QBSTARTDATE" localSheetId="0">20180101</definedName>
    <definedName name="QBSTARTDATE" localSheetId="5">20180101</definedName>
    <definedName name="QBSTARTDATE" localSheetId="3">20180101</definedName>
    <definedName name="QBSTARTDATE" localSheetId="4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4" l="1"/>
  <c r="F56" i="14" s="1"/>
  <c r="H64" i="14" s="1"/>
  <c r="W22" i="12"/>
  <c r="H19" i="13"/>
  <c r="H40" i="13"/>
  <c r="H45" i="13"/>
  <c r="H44" i="13"/>
  <c r="H39" i="13"/>
  <c r="I6" i="3"/>
  <c r="H57" i="14"/>
  <c r="F64" i="14"/>
  <c r="F62" i="14"/>
  <c r="G56" i="14"/>
  <c r="H56" i="14"/>
  <c r="G53" i="14"/>
  <c r="H53" i="14"/>
  <c r="G54" i="14"/>
  <c r="H54" i="14"/>
  <c r="G55" i="14"/>
  <c r="H55" i="14"/>
  <c r="H52" i="14"/>
  <c r="G52" i="14"/>
  <c r="F54" i="14"/>
  <c r="F53" i="14"/>
  <c r="D20" i="14"/>
  <c r="B17" i="14"/>
  <c r="E4" i="14"/>
  <c r="E5" i="14"/>
  <c r="B6" i="14"/>
  <c r="H12" i="13"/>
  <c r="I11" i="12"/>
  <c r="I10" i="12"/>
  <c r="I19" i="12"/>
  <c r="I15" i="12"/>
  <c r="I14" i="12"/>
  <c r="I22" i="12" s="1"/>
  <c r="I8" i="12"/>
  <c r="H8" i="13"/>
  <c r="H9" i="13"/>
  <c r="H10" i="13"/>
  <c r="H11" i="13"/>
  <c r="H7" i="13"/>
  <c r="G7" i="13"/>
  <c r="H46" i="13" l="1"/>
  <c r="E6" i="14"/>
  <c r="E7" i="14" s="1"/>
  <c r="I53" i="12" l="1"/>
  <c r="I49" i="12"/>
  <c r="I39" i="12"/>
  <c r="I40" i="12"/>
  <c r="I41" i="12"/>
  <c r="I42" i="12"/>
  <c r="I43" i="12"/>
  <c r="I44" i="12"/>
  <c r="I45" i="12"/>
  <c r="I46" i="12"/>
  <c r="I47" i="12"/>
  <c r="I48" i="12"/>
  <c r="I38" i="12"/>
  <c r="H18" i="13"/>
  <c r="G18" i="13"/>
  <c r="I25" i="12"/>
  <c r="I24" i="12"/>
  <c r="I33" i="12" s="1"/>
  <c r="C72" i="14"/>
  <c r="C66" i="14"/>
  <c r="C68" i="14" s="1"/>
  <c r="C62" i="14"/>
  <c r="C64" i="14" s="1"/>
  <c r="B57" i="14"/>
  <c r="B55" i="14"/>
  <c r="D55" i="14" s="1"/>
  <c r="C53" i="14"/>
  <c r="C52" i="14"/>
  <c r="B52" i="14"/>
  <c r="B53" i="14"/>
  <c r="B54" i="14"/>
  <c r="D54" i="14" s="1"/>
  <c r="C47" i="14"/>
  <c r="C46" i="14"/>
  <c r="C48" i="14" s="1"/>
  <c r="C42" i="14"/>
  <c r="C43" i="14" s="1"/>
  <c r="C34" i="14"/>
  <c r="F34" i="14"/>
  <c r="C35" i="14"/>
  <c r="C30" i="14"/>
  <c r="C27" i="14"/>
  <c r="C31" i="14" s="1"/>
  <c r="F44" i="13"/>
  <c r="F45" i="13" s="1"/>
  <c r="G42" i="13"/>
  <c r="G41" i="13"/>
  <c r="F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F18" i="13"/>
  <c r="G17" i="13"/>
  <c r="G16" i="13"/>
  <c r="G15" i="13"/>
  <c r="G14" i="13"/>
  <c r="F12" i="13"/>
  <c r="H49" i="12"/>
  <c r="H55" i="12"/>
  <c r="H33" i="12"/>
  <c r="H22" i="12"/>
  <c r="H34" i="12" s="1"/>
  <c r="I6" i="5"/>
  <c r="W33" i="12"/>
  <c r="W55" i="12"/>
  <c r="Q11" i="4"/>
  <c r="I8" i="5"/>
  <c r="I9" i="5"/>
  <c r="I10" i="5"/>
  <c r="I18" i="5" s="1"/>
  <c r="I11" i="5"/>
  <c r="I12" i="5"/>
  <c r="I13" i="5"/>
  <c r="I14" i="5"/>
  <c r="I15" i="5"/>
  <c r="I16" i="5"/>
  <c r="I7" i="5"/>
  <c r="I9" i="3"/>
  <c r="I21" i="3"/>
  <c r="C37" i="14" l="1"/>
  <c r="C54" i="14"/>
  <c r="B56" i="14"/>
  <c r="B58" i="14" s="1"/>
  <c r="D56" i="14"/>
  <c r="D58" i="14" s="1"/>
  <c r="C55" i="14"/>
  <c r="C56" i="14" s="1"/>
  <c r="C58" i="14" s="1"/>
  <c r="D59" i="14" s="1"/>
  <c r="H56" i="12"/>
  <c r="H59" i="12" s="1"/>
  <c r="H63" i="12" s="1"/>
  <c r="I55" i="12"/>
  <c r="I34" i="12"/>
  <c r="F19" i="13"/>
  <c r="F40" i="13" s="1"/>
  <c r="I56" i="12" l="1"/>
  <c r="I59" i="12" s="1"/>
  <c r="I63" i="12" s="1"/>
  <c r="F46" i="13"/>
  <c r="W34" i="12"/>
  <c r="W56" i="12" s="1"/>
  <c r="W63" i="12" s="1"/>
  <c r="U55" i="12" l="1"/>
  <c r="Q55" i="12"/>
  <c r="O55" i="12"/>
  <c r="Q54" i="12"/>
  <c r="M54" i="12"/>
  <c r="K54" i="12"/>
  <c r="G54" i="12"/>
  <c r="M52" i="12"/>
  <c r="K52" i="12"/>
  <c r="G52" i="12"/>
  <c r="M51" i="12"/>
  <c r="K51" i="12"/>
  <c r="G51" i="12"/>
  <c r="K50" i="12"/>
  <c r="G50" i="12"/>
  <c r="P49" i="12"/>
  <c r="P55" i="12" s="1"/>
  <c r="M49" i="12"/>
  <c r="K49" i="12"/>
  <c r="G49" i="12"/>
  <c r="Q35" i="12"/>
  <c r="U33" i="12"/>
  <c r="Q33" i="12"/>
  <c r="P33" i="12"/>
  <c r="O33" i="12"/>
  <c r="K33" i="12"/>
  <c r="G33" i="12"/>
  <c r="M31" i="12"/>
  <c r="M26" i="12"/>
  <c r="M24" i="12"/>
  <c r="Q23" i="12"/>
  <c r="U22" i="12"/>
  <c r="Q22" i="12"/>
  <c r="P22" i="12"/>
  <c r="G22" i="12"/>
  <c r="Q21" i="12"/>
  <c r="K14" i="12"/>
  <c r="K22" i="12" s="1"/>
  <c r="O8" i="12"/>
  <c r="O22" i="12" s="1"/>
  <c r="M8" i="12"/>
  <c r="M22" i="12" s="1"/>
  <c r="M55" i="12" l="1"/>
  <c r="U34" i="12"/>
  <c r="U56" i="12" s="1"/>
  <c r="U63" i="12" s="1"/>
  <c r="K55" i="12"/>
  <c r="G34" i="12"/>
  <c r="K34" i="12"/>
  <c r="P34" i="12"/>
  <c r="P56" i="12" s="1"/>
  <c r="G55" i="12"/>
  <c r="O34" i="12"/>
  <c r="O56" i="12" s="1"/>
  <c r="G21" i="3"/>
  <c r="K56" i="12" l="1"/>
  <c r="K59" i="12" s="1"/>
  <c r="K63" i="12" s="1"/>
  <c r="G56" i="12"/>
  <c r="G59" i="12" s="1"/>
  <c r="G63" i="12" s="1"/>
  <c r="G64" i="12" s="1"/>
  <c r="Q34" i="12"/>
  <c r="Q56" i="12" s="1"/>
  <c r="Q63" i="12" s="1"/>
  <c r="O11" i="4"/>
  <c r="G18" i="5"/>
  <c r="F21" i="3"/>
  <c r="M11" i="4"/>
  <c r="E18" i="5" l="1"/>
  <c r="D21" i="3" l="1"/>
  <c r="D11" i="4" l="1"/>
  <c r="D12" i="4" s="1"/>
  <c r="I6" i="4" l="1"/>
  <c r="M25" i="12"/>
  <c r="M33" i="12" s="1"/>
  <c r="M34" i="12" s="1"/>
  <c r="M56" i="12" s="1"/>
  <c r="M59" i="12" s="1"/>
  <c r="M63" i="12" s="1"/>
  <c r="K11" i="4"/>
  <c r="K12" i="4" s="1"/>
  <c r="G11" i="4"/>
  <c r="E11" i="4"/>
  <c r="E12" i="4" s="1"/>
  <c r="I10" i="4"/>
  <c r="I9" i="4"/>
  <c r="I8" i="4"/>
  <c r="I7" i="4"/>
  <c r="I11" i="4" l="1"/>
  <c r="G12" i="4"/>
  <c r="I12" i="4" s="1"/>
</calcChain>
</file>

<file path=xl/sharedStrings.xml><?xml version="1.0" encoding="utf-8"?>
<sst xmlns="http://schemas.openxmlformats.org/spreadsheetml/2006/main" count="257" uniqueCount="208">
  <si>
    <t>Skills Canada BC</t>
  </si>
  <si>
    <t>Ordinary Income/Expense</t>
  </si>
  <si>
    <t>Income</t>
  </si>
  <si>
    <t>42035 · Skills Canada Essential Skills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</si>
  <si>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</si>
  <si>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</si>
  <si>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</si>
  <si>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</si>
  <si>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</si>
  <si>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</si>
  <si>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</si>
  <si>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</si>
  <si>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</si>
  <si>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55200 · Skilled Trades for Women</t>
  </si>
  <si>
    <t>Total COGS</t>
  </si>
  <si>
    <t>Gross Profit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</si>
  <si>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</si>
  <si>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</si>
  <si>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</si>
  <si>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</si>
  <si>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</si>
  <si>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</si>
  <si>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</si>
  <si>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</si>
  <si>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</si>
  <si>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</si>
  <si>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</si>
  <si>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</si>
  <si>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</si>
  <si>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</si>
  <si>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</si>
  <si>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</si>
  <si>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</si>
  <si>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</si>
  <si>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</si>
  <si>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Net Income</t>
  </si>
  <si>
    <t>2019 Budget</t>
  </si>
  <si>
    <t>Regional Competitions - Budget Comparison</t>
  </si>
  <si>
    <t>$ Over Budget</t>
  </si>
  <si>
    <t>Regional Competition Costs</t>
  </si>
  <si>
    <t>Total Regional Competition Costs</t>
  </si>
  <si>
    <t>TOTAL</t>
  </si>
  <si>
    <t>National Competitions - Budget Comparison</t>
  </si>
  <si>
    <t>National Competition Costs</t>
  </si>
  <si>
    <t>Total National Competition Costs</t>
  </si>
  <si>
    <t>Provincial Competition - Budget Comparison</t>
  </si>
  <si>
    <t>Provincial Competition Costs</t>
  </si>
  <si>
    <t>Total Provincial Competition Costs</t>
  </si>
  <si>
    <t>Budget 2019</t>
  </si>
  <si>
    <t>42032 . ITA</t>
  </si>
  <si>
    <t>Non-Cash items</t>
  </si>
  <si>
    <t>Net income after Non-Cash items</t>
  </si>
  <si>
    <t>42030 · BC Government (AEST)</t>
  </si>
  <si>
    <t>53010 . Nationals 2020</t>
  </si>
  <si>
    <t>Other items</t>
  </si>
  <si>
    <t>Cash available from prior year (less 40% contingency reserve)</t>
  </si>
  <si>
    <t>47900. Miscellaneous Income</t>
  </si>
  <si>
    <t>3A</t>
  </si>
  <si>
    <t>3C</t>
  </si>
  <si>
    <t>Michelle</t>
  </si>
  <si>
    <t>Elaine</t>
  </si>
  <si>
    <t>Budget 2020</t>
  </si>
  <si>
    <t>19N099 National Registrations Collected</t>
  </si>
  <si>
    <t>19N100 National Registration Fees</t>
  </si>
  <si>
    <t>19N101 National Supplies</t>
  </si>
  <si>
    <t>19N102 National Travel &amp; TOC</t>
  </si>
  <si>
    <t>19N103 National Competitor Travel Subs.</t>
  </si>
  <si>
    <t>42037. Nationals 2020</t>
  </si>
  <si>
    <t>RBC</t>
  </si>
  <si>
    <t>Audited                Dec 31 2018</t>
  </si>
  <si>
    <t>47000. Membership fees</t>
  </si>
  <si>
    <t>Surplus (Deficit)</t>
  </si>
  <si>
    <t>66000 · Staff Salaries, MERCs, Employee benefits, Payroll admin fee</t>
  </si>
  <si>
    <t>43200. National Registration Fees</t>
  </si>
  <si>
    <t>General and Administrative Expenses</t>
  </si>
  <si>
    <t>Total General and Administrative Expenses</t>
  </si>
  <si>
    <t>Sep-Dec 2020</t>
  </si>
  <si>
    <t>Actual
Dec 2019</t>
  </si>
  <si>
    <t>42020 · Skills/Competences Canada Corp</t>
  </si>
  <si>
    <t>55000 · Inspire Program</t>
  </si>
  <si>
    <t>Jan-Aug 2021</t>
  </si>
  <si>
    <t>1A</t>
  </si>
  <si>
    <t>Actual            2019</t>
  </si>
  <si>
    <t>Revised 2020</t>
  </si>
  <si>
    <t>Budget 2021</t>
  </si>
  <si>
    <t>Approved      Jan-Dec 2020  Budget</t>
  </si>
  <si>
    <t>Revised           Jan-Dec 2020  Budget</t>
  </si>
  <si>
    <t>Short Fiscal Jan-Aug 2020</t>
  </si>
  <si>
    <t>(Part of Fiscal 2021)           Sep-Dec 2020</t>
  </si>
  <si>
    <t>Budget 2022</t>
  </si>
  <si>
    <t>42020 · ESDC Slippage</t>
  </si>
  <si>
    <t>IT</t>
  </si>
  <si>
    <t>Approved             Sep 2020-Aug 2021 Budget</t>
  </si>
  <si>
    <t>Actual         Aug 30 2020   (8 months)</t>
  </si>
  <si>
    <t>48000 Wage Subsidies and COVID grants</t>
  </si>
  <si>
    <t>10:39 AM</t>
  </si>
  <si>
    <t>Profit &amp; Loss</t>
  </si>
  <si>
    <t>September 2020 through August 2021</t>
  </si>
  <si>
    <t>Accrual Basis</t>
  </si>
  <si>
    <t>Sep '20 - Mar 21</t>
  </si>
  <si>
    <t>42020 · Skills/Compétences Canada Corp</t>
  </si>
  <si>
    <t>55000 · InSPIRE Program</t>
  </si>
  <si>
    <t>Expense</t>
  </si>
  <si>
    <t>99999 · suspense</t>
  </si>
  <si>
    <t>66000 · Staff Salaries</t>
  </si>
  <si>
    <t>Total Expense</t>
  </si>
  <si>
    <t>Net Ordinary Income</t>
  </si>
  <si>
    <t>Other Income/Expense</t>
  </si>
  <si>
    <t>Other Income</t>
  </si>
  <si>
    <t>48000 · Wage subsidy and COVID grants</t>
  </si>
  <si>
    <t>Total Other Income</t>
  </si>
  <si>
    <t>Net Other Income</t>
  </si>
  <si>
    <t>Draft Budget 2021/2022</t>
  </si>
  <si>
    <t>AFT</t>
  </si>
  <si>
    <t>Bank fee</t>
  </si>
  <si>
    <t>Visa annual fee</t>
  </si>
  <si>
    <t xml:space="preserve"> 50x3</t>
  </si>
  <si>
    <t>15x12</t>
  </si>
  <si>
    <t>Fx fee</t>
  </si>
  <si>
    <t>wire fee</t>
  </si>
  <si>
    <t>12x20</t>
  </si>
  <si>
    <t>Genovia</t>
  </si>
  <si>
    <t>Keap</t>
  </si>
  <si>
    <t>320 x12</t>
  </si>
  <si>
    <t>Avg 2300</t>
  </si>
  <si>
    <t>Other</t>
  </si>
  <si>
    <t>Professiona fee</t>
  </si>
  <si>
    <t>Audit</t>
  </si>
  <si>
    <t>Legal</t>
  </si>
  <si>
    <t>accounting</t>
  </si>
  <si>
    <t>3000x12x1.025</t>
  </si>
  <si>
    <t>Telcommunication</t>
  </si>
  <si>
    <t>primus</t>
  </si>
  <si>
    <t>25x12</t>
  </si>
  <si>
    <t>Zoom</t>
  </si>
  <si>
    <t>200x3</t>
  </si>
  <si>
    <t>Staff salary</t>
  </si>
  <si>
    <t>Jaime</t>
  </si>
  <si>
    <t>CPP</t>
  </si>
  <si>
    <t>EI</t>
  </si>
  <si>
    <t>Shoshwana</t>
  </si>
  <si>
    <t>Bonus</t>
  </si>
  <si>
    <t>Employee benefit</t>
  </si>
  <si>
    <t>CIBP</t>
  </si>
  <si>
    <t>760x12</t>
  </si>
  <si>
    <t>WCB</t>
  </si>
  <si>
    <t>Ceridian</t>
  </si>
  <si>
    <t>32x26</t>
  </si>
  <si>
    <t>T4s</t>
  </si>
  <si>
    <t>Wage subsidy</t>
  </si>
  <si>
    <t>Jun-Aug</t>
  </si>
  <si>
    <t>7000x3</t>
  </si>
  <si>
    <t>populated</t>
  </si>
  <si>
    <t xml:space="preserve">ESDC Apr-Aug </t>
  </si>
  <si>
    <t>Projected Actaul</t>
  </si>
  <si>
    <t>ESDC:</t>
  </si>
  <si>
    <t>Provincial</t>
  </si>
  <si>
    <t>Professional fees</t>
  </si>
  <si>
    <t>Expesnses 3C</t>
  </si>
  <si>
    <t>Sponsorhsip</t>
  </si>
  <si>
    <t>Kiewit</t>
  </si>
  <si>
    <t>other</t>
  </si>
  <si>
    <t>Registration fees</t>
  </si>
  <si>
    <t>#of participants</t>
  </si>
  <si>
    <t>Renwed to end of Sep 2021 as of this date</t>
  </si>
  <si>
    <t>BC Government</t>
  </si>
  <si>
    <t>grant</t>
  </si>
  <si>
    <t>Expenses</t>
  </si>
  <si>
    <t>Regional</t>
  </si>
  <si>
    <t>2021 fiscal</t>
  </si>
  <si>
    <t>2022 fiscal</t>
  </si>
  <si>
    <t>2% increase in MERCs</t>
  </si>
  <si>
    <t>Elaine 10% increase</t>
  </si>
  <si>
    <t>total salary</t>
  </si>
  <si>
    <t>Total BC Government grant</t>
  </si>
  <si>
    <t>Sep 2020-Aug 2021</t>
  </si>
  <si>
    <t>net</t>
  </si>
  <si>
    <t>54500. Online Challenges</t>
  </si>
  <si>
    <t>54600. Alumni</t>
  </si>
  <si>
    <t>22R100 Regional Operating Expenses</t>
  </si>
  <si>
    <t>22R101 Encana - Peace Region</t>
  </si>
  <si>
    <t>22R102 Cariboo</t>
  </si>
  <si>
    <t>22R103 Central Lower Mainland</t>
  </si>
  <si>
    <t>22R104 Central Okanagan</t>
  </si>
  <si>
    <t>22R105 Kootenays</t>
  </si>
  <si>
    <t>22R106 Lower Fraser Valley</t>
  </si>
  <si>
    <t>22R107 North West</t>
  </si>
  <si>
    <t>22R108 Peace</t>
  </si>
  <si>
    <t>22R109 Upper Fraser Valley</t>
  </si>
  <si>
    <t>22R110 Vancouver Island Central</t>
  </si>
  <si>
    <t>22R111 Vancouver Island North</t>
  </si>
  <si>
    <t>22R112 Vancouver Island South</t>
  </si>
  <si>
    <t>22R113 Northwest Lower Mainland</t>
  </si>
  <si>
    <t>22R114 Central Interior</t>
  </si>
  <si>
    <t>22P100 Tradex Venue Rental &amp; Services</t>
  </si>
  <si>
    <t>22P101 Utilities</t>
  </si>
  <si>
    <t>22P102 General Equipment &amp; Services</t>
  </si>
  <si>
    <t>22P103 Transportation</t>
  </si>
  <si>
    <t>22P104 Support Staff &amp; Services</t>
  </si>
  <si>
    <t>22P105 Volunteer Coordinator</t>
  </si>
  <si>
    <t>22P106 Office Supplies</t>
  </si>
  <si>
    <t>22P107 School Bus Subsidy</t>
  </si>
  <si>
    <t>22P108 Supplies &amp; Area Costs</t>
  </si>
  <si>
    <t>22P109 Staff Travel</t>
  </si>
  <si>
    <t>22P110 Competitor Travel Subsidy</t>
  </si>
  <si>
    <t>22P111 Advertising &amp; Promotion</t>
  </si>
  <si>
    <t>Proposed                Sep 2021-Aug 2022 Budget</t>
  </si>
  <si>
    <t>Actual Projected          Aug 30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</si>
</sst>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23232"/>
      <name val="Arial"/>
      <family val="2"/>
    </font>
    <font>
      <b/>
      <sz val="10"/>
      <color rgb="FF323232"/>
      <name val="Arial"/>
      <family val="2"/>
    </font>
    <font>
      <sz val="11"/>
      <color rgb="FF323232"/>
      <name val="Arial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39" fontId="4" fillId="0" borderId="0" xfId="0" applyNumberFormat="1" applyFont="1"/>
    <xf numFmtId="49" fontId="4" fillId="0" borderId="0" xfId="0" applyNumberFormat="1" applyFont="1"/>
    <xf numFmtId="39" fontId="4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164" fontId="0" fillId="0" borderId="0" xfId="1" applyFont="1"/>
    <xf numFmtId="164" fontId="4" fillId="0" borderId="0" xfId="1" applyFont="1"/>
    <xf numFmtId="164" fontId="1" fillId="0" borderId="6" xfId="1" applyFont="1" applyBorder="1"/>
    <xf numFmtId="164" fontId="1" fillId="0" borderId="0" xfId="1" applyFont="1"/>
    <xf numFmtId="49" fontId="6" fillId="0" borderId="0" xfId="0" applyNumberFormat="1" applyFont="1"/>
    <xf numFmtId="49" fontId="7" fillId="0" borderId="0" xfId="0" applyNumberFormat="1" applyFont="1"/>
    <xf numFmtId="164" fontId="8" fillId="0" borderId="0" xfId="1" applyFont="1"/>
    <xf numFmtId="49" fontId="8" fillId="0" borderId="0" xfId="0" applyNumberFormat="1" applyFont="1"/>
    <xf numFmtId="0" fontId="8" fillId="0" borderId="0" xfId="0" applyFont="1"/>
    <xf numFmtId="49" fontId="10" fillId="0" borderId="0" xfId="0" applyNumberFormat="1" applyFont="1"/>
    <xf numFmtId="164" fontId="8" fillId="0" borderId="0" xfId="1" applyFont="1" applyAlignment="1">
      <alignment horizontal="centerContinuous"/>
    </xf>
    <xf numFmtId="164" fontId="9" fillId="0" borderId="0" xfId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164" fontId="7" fillId="0" borderId="2" xfId="1" applyFont="1" applyBorder="1" applyAlignment="1">
      <alignment horizontal="center" wrapText="1"/>
    </xf>
    <xf numFmtId="164" fontId="8" fillId="0" borderId="0" xfId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1" fillId="0" borderId="0" xfId="0" applyNumberFormat="1" applyFont="1"/>
    <xf numFmtId="164" fontId="11" fillId="0" borderId="0" xfId="1" applyFont="1"/>
    <xf numFmtId="49" fontId="11" fillId="0" borderId="0" xfId="0" applyNumberFormat="1" applyFont="1" applyAlignment="1">
      <alignment vertical="center"/>
    </xf>
    <xf numFmtId="164" fontId="11" fillId="0" borderId="0" xfId="1" applyFont="1" applyAlignment="1">
      <alignment vertical="center"/>
    </xf>
    <xf numFmtId="164" fontId="11" fillId="0" borderId="3" xfId="1" applyFont="1" applyBorder="1"/>
    <xf numFmtId="164" fontId="11" fillId="0" borderId="4" xfId="1" applyFont="1" applyBorder="1"/>
    <xf numFmtId="0" fontId="11" fillId="0" borderId="0" xfId="0" applyFont="1"/>
    <xf numFmtId="164" fontId="7" fillId="0" borderId="6" xfId="1" applyFont="1" applyBorder="1"/>
    <xf numFmtId="164" fontId="7" fillId="0" borderId="0" xfId="1" applyFont="1"/>
    <xf numFmtId="0" fontId="7" fillId="0" borderId="0" xfId="0" applyFont="1"/>
    <xf numFmtId="164" fontId="0" fillId="0" borderId="7" xfId="0" applyNumberFormat="1" applyBorder="1"/>
    <xf numFmtId="164" fontId="4" fillId="0" borderId="0" xfId="1" applyFont="1" applyFill="1"/>
    <xf numFmtId="0" fontId="12" fillId="0" borderId="0" xfId="0" applyFont="1"/>
    <xf numFmtId="164" fontId="0" fillId="0" borderId="7" xfId="1" applyFont="1" applyBorder="1"/>
    <xf numFmtId="164" fontId="0" fillId="0" borderId="8" xfId="1" applyFont="1" applyBorder="1"/>
    <xf numFmtId="164" fontId="11" fillId="0" borderId="0" xfId="1" applyFont="1" applyFill="1"/>
    <xf numFmtId="164" fontId="11" fillId="0" borderId="0" xfId="1" applyFont="1" applyFill="1" applyAlignment="1">
      <alignment vertical="center"/>
    </xf>
    <xf numFmtId="164" fontId="11" fillId="0" borderId="4" xfId="1" applyFont="1" applyFill="1" applyBorder="1"/>
    <xf numFmtId="164" fontId="8" fillId="0" borderId="0" xfId="1" applyFont="1" applyFill="1"/>
    <xf numFmtId="164" fontId="8" fillId="0" borderId="0" xfId="1" applyFont="1" applyFill="1" applyAlignment="1">
      <alignment horizontal="centerContinuous"/>
    </xf>
    <xf numFmtId="164" fontId="7" fillId="0" borderId="2" xfId="1" applyFont="1" applyFill="1" applyBorder="1" applyAlignment="1">
      <alignment horizontal="center" wrapText="1"/>
    </xf>
    <xf numFmtId="164" fontId="11" fillId="0" borderId="3" xfId="1" applyFont="1" applyFill="1" applyBorder="1"/>
    <xf numFmtId="164" fontId="7" fillId="0" borderId="6" xfId="1" applyFont="1" applyFill="1" applyBorder="1"/>
    <xf numFmtId="164" fontId="7" fillId="0" borderId="0" xfId="1" applyFont="1" applyFill="1"/>
    <xf numFmtId="164" fontId="0" fillId="0" borderId="0" xfId="1" applyFont="1" applyFill="1"/>
    <xf numFmtId="164" fontId="1" fillId="0" borderId="6" xfId="1" applyFont="1" applyFill="1" applyBorder="1"/>
    <xf numFmtId="164" fontId="1" fillId="0" borderId="0" xfId="1" applyFont="1" applyFill="1"/>
    <xf numFmtId="49" fontId="7" fillId="2" borderId="2" xfId="0" applyNumberFormat="1" applyFont="1" applyFill="1" applyBorder="1" applyAlignment="1">
      <alignment horizontal="center"/>
    </xf>
    <xf numFmtId="39" fontId="4" fillId="2" borderId="0" xfId="0" applyNumberFormat="1" applyFont="1" applyFill="1"/>
    <xf numFmtId="39" fontId="4" fillId="2" borderId="5" xfId="0" applyNumberFormat="1" applyFont="1" applyFill="1" applyBorder="1"/>
    <xf numFmtId="39" fontId="1" fillId="2" borderId="6" xfId="0" applyNumberFormat="1" applyFont="1" applyFill="1" applyBorder="1"/>
    <xf numFmtId="49" fontId="1" fillId="2" borderId="2" xfId="0" applyNumberFormat="1" applyFont="1" applyFill="1" applyBorder="1" applyAlignment="1">
      <alignment horizontal="center"/>
    </xf>
    <xf numFmtId="164" fontId="4" fillId="2" borderId="0" xfId="1" applyFont="1" applyFill="1"/>
    <xf numFmtId="164" fontId="11" fillId="2" borderId="0" xfId="1" applyFont="1" applyFill="1"/>
    <xf numFmtId="164" fontId="7" fillId="2" borderId="6" xfId="1" applyFont="1" applyFill="1" applyBorder="1"/>
    <xf numFmtId="164" fontId="7" fillId="2" borderId="0" xfId="1" applyFont="1" applyFill="1"/>
    <xf numFmtId="0" fontId="11" fillId="0" borderId="0" xfId="0" applyFont="1" applyFill="1"/>
    <xf numFmtId="49" fontId="11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39" fontId="4" fillId="0" borderId="0" xfId="0" applyNumberFormat="1" applyFont="1" applyFill="1"/>
    <xf numFmtId="49" fontId="11" fillId="0" borderId="0" xfId="0" applyNumberFormat="1" applyFont="1" applyAlignment="1">
      <alignment shrinkToFit="1"/>
    </xf>
    <xf numFmtId="164" fontId="0" fillId="0" borderId="0" xfId="0" applyNumberFormat="1"/>
    <xf numFmtId="164" fontId="11" fillId="0" borderId="8" xfId="1" applyFont="1" applyFill="1" applyBorder="1"/>
    <xf numFmtId="164" fontId="7" fillId="2" borderId="0" xfId="1" applyFont="1" applyFill="1" applyBorder="1"/>
    <xf numFmtId="164" fontId="11" fillId="2" borderId="8" xfId="1" applyFont="1" applyFill="1" applyBorder="1"/>
    <xf numFmtId="164" fontId="11" fillId="0" borderId="0" xfId="0" applyNumberFormat="1" applyFont="1"/>
    <xf numFmtId="164" fontId="7" fillId="2" borderId="10" xfId="1" applyFont="1" applyFill="1" applyBorder="1" applyAlignment="1">
      <alignment horizontal="center" wrapText="1"/>
    </xf>
    <xf numFmtId="164" fontId="11" fillId="2" borderId="12" xfId="1" applyFont="1" applyFill="1" applyBorder="1"/>
    <xf numFmtId="164" fontId="11" fillId="2" borderId="12" xfId="1" applyFont="1" applyFill="1" applyBorder="1" applyAlignment="1">
      <alignment vertical="center"/>
    </xf>
    <xf numFmtId="164" fontId="11" fillId="2" borderId="13" xfId="1" applyFont="1" applyFill="1" applyBorder="1"/>
    <xf numFmtId="164" fontId="11" fillId="2" borderId="14" xfId="1" applyFont="1" applyFill="1" applyBorder="1"/>
    <xf numFmtId="164" fontId="11" fillId="2" borderId="15" xfId="1" applyFont="1" applyFill="1" applyBorder="1"/>
    <xf numFmtId="164" fontId="13" fillId="2" borderId="10" xfId="1" applyFont="1" applyFill="1" applyBorder="1" applyAlignment="1">
      <alignment horizontal="center" wrapText="1"/>
    </xf>
    <xf numFmtId="164" fontId="13" fillId="2" borderId="11" xfId="1" applyFont="1" applyFill="1" applyBorder="1" applyAlignment="1">
      <alignment horizontal="center" wrapText="1"/>
    </xf>
    <xf numFmtId="164" fontId="14" fillId="2" borderId="12" xfId="1" applyFont="1" applyFill="1" applyBorder="1"/>
    <xf numFmtId="164" fontId="11" fillId="2" borderId="16" xfId="1" applyFont="1" applyFill="1" applyBorder="1"/>
    <xf numFmtId="164" fontId="11" fillId="2" borderId="16" xfId="1" applyFont="1" applyFill="1" applyBorder="1" applyAlignment="1">
      <alignment vertical="center"/>
    </xf>
    <xf numFmtId="164" fontId="8" fillId="0" borderId="0" xfId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164" fontId="9" fillId="0" borderId="0" xfId="1" applyFont="1" applyFill="1" applyAlignment="1">
      <alignment horizontal="center"/>
    </xf>
    <xf numFmtId="164" fontId="7" fillId="0" borderId="0" xfId="1" applyFont="1" applyFill="1" applyBorder="1"/>
    <xf numFmtId="164" fontId="1" fillId="0" borderId="0" xfId="1" applyFont="1" applyFill="1" applyBorder="1"/>
    <xf numFmtId="0" fontId="11" fillId="0" borderId="0" xfId="0" applyFont="1" applyFill="1" applyAlignment="1">
      <alignment horizontal="left"/>
    </xf>
    <xf numFmtId="164" fontId="11" fillId="2" borderId="0" xfId="1" applyFont="1" applyFill="1" applyBorder="1"/>
    <xf numFmtId="164" fontId="11" fillId="2" borderId="0" xfId="1" applyFont="1" applyFill="1" applyBorder="1" applyAlignment="1">
      <alignment vertical="center"/>
    </xf>
    <xf numFmtId="164" fontId="8" fillId="0" borderId="0" xfId="1" applyFont="1" applyFill="1" applyBorder="1"/>
    <xf numFmtId="164" fontId="9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11" fillId="0" borderId="0" xfId="1" applyFont="1" applyFill="1" applyBorder="1"/>
    <xf numFmtId="164" fontId="11" fillId="0" borderId="0" xfId="1" applyFont="1" applyFill="1" applyBorder="1" applyAlignment="1">
      <alignment vertical="center"/>
    </xf>
    <xf numFmtId="164" fontId="0" fillId="0" borderId="0" xfId="1" applyFont="1" applyFill="1" applyBorder="1"/>
    <xf numFmtId="164" fontId="4" fillId="0" borderId="0" xfId="1" applyFont="1" applyFill="1" applyBorder="1"/>
    <xf numFmtId="0" fontId="11" fillId="0" borderId="0" xfId="0" applyFont="1" applyFill="1" applyBorder="1" applyAlignment="1">
      <alignment horizontal="left"/>
    </xf>
    <xf numFmtId="164" fontId="11" fillId="2" borderId="7" xfId="1" applyFont="1" applyFill="1" applyBorder="1"/>
    <xf numFmtId="164" fontId="11" fillId="2" borderId="17" xfId="1" applyFont="1" applyFill="1" applyBorder="1"/>
    <xf numFmtId="164" fontId="7" fillId="2" borderId="18" xfId="1" applyFont="1" applyFill="1" applyBorder="1" applyAlignment="1">
      <alignment horizontal="center" wrapText="1"/>
    </xf>
    <xf numFmtId="164" fontId="11" fillId="2" borderId="18" xfId="1" applyFont="1" applyFill="1" applyBorder="1"/>
    <xf numFmtId="164" fontId="11" fillId="2" borderId="19" xfId="1" applyFont="1" applyFill="1" applyBorder="1"/>
    <xf numFmtId="164" fontId="11" fillId="2" borderId="20" xfId="1" applyFont="1" applyFill="1" applyBorder="1"/>
    <xf numFmtId="164" fontId="11" fillId="2" borderId="21" xfId="1" applyFont="1" applyFill="1" applyBorder="1"/>
    <xf numFmtId="164" fontId="11" fillId="2" borderId="22" xfId="1" applyFont="1" applyFill="1" applyBorder="1"/>
    <xf numFmtId="164" fontId="11" fillId="2" borderId="9" xfId="1" applyFont="1" applyFill="1" applyBorder="1"/>
    <xf numFmtId="164" fontId="11" fillId="0" borderId="8" xfId="1" applyFont="1" applyBorder="1"/>
    <xf numFmtId="164" fontId="8" fillId="0" borderId="0" xfId="1" applyFont="1" applyFill="1" applyBorder="1" applyAlignment="1">
      <alignment horizontal="centerContinuous"/>
    </xf>
    <xf numFmtId="0" fontId="15" fillId="0" borderId="0" xfId="0" applyFont="1"/>
    <xf numFmtId="49" fontId="8" fillId="0" borderId="0" xfId="0" applyNumberFormat="1" applyFont="1" applyFill="1" applyBorder="1" applyAlignment="1">
      <alignment horizontal="centerContinuous"/>
    </xf>
    <xf numFmtId="49" fontId="8" fillId="0" borderId="0" xfId="0" applyNumberFormat="1" applyFont="1" applyFill="1" applyBorder="1"/>
    <xf numFmtId="0" fontId="0" fillId="0" borderId="0" xfId="0" applyFill="1"/>
    <xf numFmtId="164" fontId="9" fillId="0" borderId="0" xfId="1" applyFont="1" applyBorder="1" applyAlignment="1">
      <alignment horizontal="center"/>
    </xf>
    <xf numFmtId="164" fontId="7" fillId="0" borderId="0" xfId="1" applyFont="1" applyFill="1" applyBorder="1" applyAlignment="1"/>
    <xf numFmtId="164" fontId="13" fillId="2" borderId="23" xfId="1" applyFont="1" applyFill="1" applyBorder="1" applyAlignment="1">
      <alignment horizontal="center" wrapText="1"/>
    </xf>
    <xf numFmtId="164" fontId="13" fillId="2" borderId="24" xfId="1" applyFont="1" applyFill="1" applyBorder="1" applyAlignment="1">
      <alignment horizontal="center" wrapText="1"/>
    </xf>
    <xf numFmtId="164" fontId="15" fillId="0" borderId="0" xfId="1" applyFont="1"/>
    <xf numFmtId="39" fontId="4" fillId="2" borderId="25" xfId="0" applyNumberFormat="1" applyFont="1" applyFill="1" applyBorder="1"/>
    <xf numFmtId="43" fontId="8" fillId="0" borderId="0" xfId="0" applyNumberFormat="1" applyFont="1"/>
    <xf numFmtId="164" fontId="11" fillId="0" borderId="0" xfId="1" applyFont="1" applyBorder="1"/>
    <xf numFmtId="164" fontId="11" fillId="0" borderId="9" xfId="1" applyFont="1" applyBorder="1"/>
    <xf numFmtId="49" fontId="2" fillId="0" borderId="0" xfId="0" applyNumberFormat="1" applyFont="1" applyAlignment="1">
      <alignment horizontal="centerContinuous"/>
    </xf>
    <xf numFmtId="49" fontId="16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49" fontId="16" fillId="0" borderId="0" xfId="0" applyNumberFormat="1" applyFont="1" applyAlignment="1">
      <alignment horizontal="center"/>
    </xf>
    <xf numFmtId="164" fontId="0" fillId="0" borderId="0" xfId="1" applyFont="1" applyAlignment="1">
      <alignment horizontal="center"/>
    </xf>
    <xf numFmtId="49" fontId="16" fillId="0" borderId="0" xfId="0" applyNumberFormat="1" applyFont="1"/>
    <xf numFmtId="39" fontId="18" fillId="0" borderId="0" xfId="0" applyNumberFormat="1" applyFont="1"/>
    <xf numFmtId="0" fontId="16" fillId="0" borderId="0" xfId="0" applyFont="1"/>
    <xf numFmtId="164" fontId="0" fillId="0" borderId="8" xfId="0" applyNumberFormat="1" applyBorder="1"/>
    <xf numFmtId="164" fontId="18" fillId="0" borderId="0" xfId="1" applyFont="1"/>
    <xf numFmtId="0" fontId="0" fillId="0" borderId="8" xfId="0" applyBorder="1"/>
    <xf numFmtId="164" fontId="0" fillId="0" borderId="9" xfId="0" applyNumberFormat="1" applyBorder="1"/>
    <xf numFmtId="43" fontId="0" fillId="0" borderId="0" xfId="0" applyNumberFormat="1"/>
    <xf numFmtId="164" fontId="0" fillId="2" borderId="0" xfId="1" applyFont="1" applyFill="1"/>
    <xf numFmtId="164" fontId="0" fillId="2" borderId="9" xfId="0" applyNumberFormat="1" applyFill="1" applyBorder="1"/>
    <xf numFmtId="164" fontId="0" fillId="0" borderId="0" xfId="0" applyNumberFormat="1" applyFill="1" applyBorder="1"/>
    <xf numFmtId="44" fontId="0" fillId="0" borderId="0" xfId="2" applyFont="1"/>
    <xf numFmtId="0" fontId="15" fillId="0" borderId="8" xfId="0" applyFont="1" applyBorder="1"/>
    <xf numFmtId="164" fontId="19" fillId="0" borderId="0" xfId="1" applyFont="1"/>
    <xf numFmtId="164" fontId="19" fillId="0" borderId="0" xfId="0" applyNumberFormat="1" applyFont="1" applyFill="1" applyBorder="1"/>
    <xf numFmtId="164" fontId="14" fillId="2" borderId="16" xfId="1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centerContinuous"/>
    </xf>
    <xf numFmtId="49" fontId="0" fillId="0" borderId="1" xfId="0" applyNumberForma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4" fillId="0" borderId="0" xfId="0" applyNumberFormat="1" applyFont="1" applyFill="1"/>
    <xf numFmtId="39" fontId="4" fillId="0" borderId="5" xfId="0" applyNumberFormat="1" applyFont="1" applyFill="1" applyBorder="1"/>
    <xf numFmtId="49" fontId="1" fillId="0" borderId="0" xfId="0" applyNumberFormat="1" applyFont="1" applyFill="1"/>
    <xf numFmtId="0" fontId="1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39" fontId="1" fillId="0" borderId="5" xfId="0" applyNumberFormat="1" applyFont="1" applyFill="1" applyBorder="1"/>
    <xf numFmtId="0" fontId="0" fillId="0" borderId="0" xfId="0" applyFill="1" applyBorder="1"/>
    <xf numFmtId="164" fontId="16" fillId="0" borderId="0" xfId="1" applyFont="1" applyAlignment="1">
      <alignment horizontal="right"/>
    </xf>
    <xf numFmtId="164" fontId="16" fillId="0" borderId="1" xfId="1" applyFont="1" applyBorder="1" applyAlignment="1">
      <alignment horizontal="center"/>
    </xf>
    <xf numFmtId="164" fontId="18" fillId="0" borderId="3" xfId="1" applyFont="1" applyBorder="1"/>
    <xf numFmtId="164" fontId="18" fillId="0" borderId="4" xfId="1" applyFont="1" applyBorder="1"/>
    <xf numFmtId="164" fontId="18" fillId="0" borderId="5" xfId="1" applyFont="1" applyBorder="1"/>
    <xf numFmtId="164" fontId="16" fillId="0" borderId="6" xfId="1" applyFont="1" applyBorder="1"/>
    <xf numFmtId="164" fontId="7" fillId="0" borderId="3" xfId="1" applyFont="1" applyFill="1" applyBorder="1" applyAlignment="1">
      <alignment horizontal="center"/>
    </xf>
    <xf numFmtId="164" fontId="15" fillId="0" borderId="0" xfId="1" applyFont="1" applyBorder="1"/>
    <xf numFmtId="0" fontId="0" fillId="0" borderId="0" xfId="0" applyBorder="1"/>
    <xf numFmtId="164" fontId="0" fillId="0" borderId="0" xfId="1" applyFont="1" applyBorder="1"/>
    <xf numFmtId="0" fontId="1" fillId="0" borderId="0" xfId="0" applyFont="1" applyBorder="1"/>
    <xf numFmtId="39" fontId="4" fillId="2" borderId="6" xfId="0" applyNumberFormat="1" applyFont="1" applyFill="1" applyBorder="1"/>
    <xf numFmtId="39" fontId="4" fillId="0" borderId="6" xfId="0" applyNumberFormat="1" applyFont="1" applyFill="1" applyBorder="1"/>
    <xf numFmtId="39" fontId="1" fillId="0" borderId="0" xfId="0" applyNumberFormat="1" applyFont="1" applyFill="1" applyBorder="1"/>
    <xf numFmtId="0" fontId="1" fillId="0" borderId="0" xfId="0" applyFont="1" applyFill="1" applyBorder="1"/>
    <xf numFmtId="39" fontId="4" fillId="0" borderId="9" xfId="0" applyNumberFormat="1" applyFont="1" applyFill="1" applyBorder="1"/>
    <xf numFmtId="39" fontId="4" fillId="2" borderId="9" xfId="0" applyNumberFormat="1" applyFont="1" applyFill="1" applyBorder="1"/>
    <xf numFmtId="164" fontId="7" fillId="2" borderId="21" xfId="1" applyFont="1" applyFill="1" applyBorder="1"/>
    <xf numFmtId="164" fontId="7" fillId="2" borderId="26" xfId="1" applyFont="1" applyFill="1" applyBorder="1" applyAlignment="1">
      <alignment horizontal="center" wrapText="1"/>
    </xf>
    <xf numFmtId="164" fontId="7" fillId="0" borderId="26" xfId="1" applyFont="1" applyFill="1" applyBorder="1" applyAlignment="1">
      <alignment horizontal="center" wrapText="1"/>
    </xf>
    <xf numFmtId="164" fontId="11" fillId="0" borderId="16" xfId="1" applyFont="1" applyFill="1" applyBorder="1"/>
    <xf numFmtId="164" fontId="11" fillId="0" borderId="16" xfId="1" applyFont="1" applyFill="1" applyBorder="1" applyAlignment="1">
      <alignment vertical="center"/>
    </xf>
    <xf numFmtId="164" fontId="11" fillId="0" borderId="19" xfId="1" applyFont="1" applyFill="1" applyBorder="1"/>
    <xf numFmtId="164" fontId="11" fillId="0" borderId="20" xfId="1" applyFont="1" applyFill="1" applyBorder="1"/>
    <xf numFmtId="164" fontId="7" fillId="0" borderId="21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650031</xdr:colOff>
          <xdr:row>1</xdr:row>
          <xdr:rowOff>28575</xdr:rowOff>
        </xdr:to>
        <xdr:sp macro="" textlink="">
          <xdr:nvSpPr>
            <xdr:cNvPr id="21505" name="FILTER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650031</xdr:colOff>
          <xdr:row>1</xdr:row>
          <xdr:rowOff>28575</xdr:rowOff>
        </xdr:to>
        <xdr:sp macro="" textlink="">
          <xdr:nvSpPr>
            <xdr:cNvPr id="21506" name="HEADER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/Relationships>

</file>

<file path=xl/worksheets/_rels/sheet5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/Relationships>

</file>

<file path=xl/worksheets/_rels/sheet6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7.emf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831BF-FCA8-4E57-86A2-2D514680B37A}">
  <sheetPr codeName="Sheet7"/>
  <dimension ref="A1:AE106"/>
  <sheetViews>
    <sheetView tabSelected="1" zoomScale="286" zoomScaleNormal="286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 activeCell="H12" sqref="H12"/>
    </sheetView>
  </sheetViews>
  <sheetFormatPr defaultColWidth="9.140625" defaultRowHeight="15" outlineLevelRow="1" outlineLevelCol="2" x14ac:dyDescent="0.25"/>
  <cols>
    <col min="1" max="1" width="1.28515625" style="43" customWidth="1"/>
    <col min="2" max="2" width="0.7109375" style="43" customWidth="1"/>
    <col min="3" max="4" width="1" style="43" customWidth="1"/>
    <col min="5" max="5" width="30.85546875" style="43" customWidth="1"/>
    <col min="6" max="6" width="0.28515625" style="23" customWidth="1"/>
    <col min="7" max="7" width="11.42578125" style="23" bestFit="1" customWidth="1"/>
    <col min="8" max="8" width="10.28515625" style="23" customWidth="1"/>
    <col min="9" max="9" width="11.140625" style="23" customWidth="1"/>
    <col min="10" max="10" width="0.7109375" style="100" customWidth="1"/>
    <col min="11" max="11" width="10.42578125" style="52" hidden="1" customWidth="1" outlineLevel="1"/>
    <col min="12" max="12" width="1.28515625" hidden="1" customWidth="1" outlineLevel="1"/>
    <col min="13" max="13" width="12" style="23" hidden="1" customWidth="1" outlineLevel="2"/>
    <col min="14" max="14" width="0.85546875" style="100" hidden="1" customWidth="1" outlineLevel="2"/>
    <col min="15" max="16" width="11.140625" style="23" hidden="1" customWidth="1" outlineLevel="2"/>
    <col min="17" max="17" width="12" style="52" hidden="1" customWidth="1" outlineLevel="2"/>
    <col min="18" max="18" width="1.140625" style="25" hidden="1" customWidth="1" outlineLevel="1" collapsed="1"/>
    <col min="19" max="19" width="10.7109375" style="25" hidden="1" customWidth="1" outlineLevel="1"/>
    <col min="20" max="20" width="11.5703125" style="25" hidden="1" customWidth="1" outlineLevel="1"/>
    <col min="21" max="21" width="15.140625" style="49" customWidth="1" collapsed="1"/>
    <col min="22" max="22" width="0.7109375" style="49" customWidth="1"/>
    <col min="23" max="23" width="14.85546875" style="49" customWidth="1" collapsed="1"/>
    <col min="24" max="24" width="9.140625" style="40"/>
    <col min="25" max="25" width="34.42578125" style="40" bestFit="1" customWidth="1"/>
    <col min="26" max="26" width="10.7109375" style="25" bestFit="1" customWidth="1"/>
    <col min="27" max="27" width="9.5703125" style="25" bestFit="1" customWidth="1"/>
    <col min="28" max="28" width="11.7109375" style="23" bestFit="1" customWidth="1"/>
    <col min="29" max="30" width="10.7109375" style="25" bestFit="1" customWidth="1"/>
    <col min="31" max="16384" width="9.140625" style="25"/>
  </cols>
  <sheetData>
    <row r="1" spans="1:30" ht="15.75" x14ac:dyDescent="0.25">
      <c r="A1" s="21" t="s">
        <v>0</v>
      </c>
      <c r="B1" s="22"/>
      <c r="C1" s="22"/>
      <c r="D1" s="22"/>
      <c r="E1" s="22"/>
      <c r="R1" s="24"/>
      <c r="S1" s="24"/>
      <c r="T1" s="24"/>
    </row>
    <row r="2" spans="1:30" ht="18" x14ac:dyDescent="0.25">
      <c r="A2" s="26" t="s">
        <v>112</v>
      </c>
      <c r="B2" s="22"/>
      <c r="C2" s="22"/>
      <c r="D2" s="22"/>
      <c r="E2" s="22"/>
      <c r="Q2" s="100"/>
      <c r="R2" s="121"/>
      <c r="S2" s="121"/>
      <c r="T2" s="121"/>
      <c r="U2" s="103"/>
      <c r="W2" s="103"/>
    </row>
    <row r="3" spans="1:30" ht="6" customHeight="1" x14ac:dyDescent="0.25">
      <c r="A3" s="22"/>
      <c r="B3" s="22"/>
      <c r="C3" s="22"/>
      <c r="D3" s="22"/>
      <c r="E3" s="22"/>
      <c r="F3" s="92"/>
      <c r="G3" s="92"/>
      <c r="H3" s="92"/>
      <c r="I3" s="92"/>
      <c r="J3" s="118"/>
      <c r="K3" s="118"/>
      <c r="M3" s="28"/>
      <c r="N3" s="101"/>
      <c r="O3" s="123"/>
      <c r="P3" s="123"/>
      <c r="Q3" s="101"/>
      <c r="R3" s="120"/>
      <c r="S3" s="120"/>
      <c r="T3" s="120"/>
      <c r="U3" s="103"/>
      <c r="W3" s="103"/>
    </row>
    <row r="4" spans="1:30" ht="15.4" customHeight="1" thickBot="1" x14ac:dyDescent="0.3">
      <c r="A4" s="22"/>
      <c r="B4" s="22"/>
      <c r="C4" s="22"/>
      <c r="D4" s="22"/>
      <c r="E4" s="22"/>
      <c r="F4" s="92"/>
      <c r="G4" s="27"/>
      <c r="H4" s="27"/>
      <c r="I4" s="92"/>
      <c r="J4" s="118"/>
      <c r="K4" s="53"/>
      <c r="M4" s="94"/>
      <c r="N4" s="101"/>
      <c r="O4" s="174"/>
      <c r="P4" s="174"/>
      <c r="Q4" s="174"/>
      <c r="R4" s="93"/>
      <c r="S4" s="124"/>
      <c r="T4" s="124"/>
      <c r="U4" s="124"/>
      <c r="W4" s="124"/>
    </row>
    <row r="5" spans="1:30" s="33" customFormat="1" ht="44.45" customHeight="1" thickTop="1" thickBot="1" x14ac:dyDescent="0.3">
      <c r="A5" s="29"/>
      <c r="B5" s="29"/>
      <c r="C5" s="29"/>
      <c r="D5" s="29"/>
      <c r="E5" s="29"/>
      <c r="F5" s="31"/>
      <c r="G5" s="30" t="s">
        <v>77</v>
      </c>
      <c r="H5" s="30" t="s">
        <v>93</v>
      </c>
      <c r="I5" s="30" t="s">
        <v>207</v>
      </c>
      <c r="J5" s="102"/>
      <c r="K5" s="54" t="s">
        <v>36</v>
      </c>
      <c r="M5" s="81" t="s">
        <v>85</v>
      </c>
      <c r="N5" s="102"/>
      <c r="O5" s="87" t="s">
        <v>87</v>
      </c>
      <c r="P5" s="88" t="s">
        <v>88</v>
      </c>
      <c r="Q5" s="110" t="s">
        <v>86</v>
      </c>
      <c r="R5" s="32"/>
      <c r="S5" s="125" t="s">
        <v>76</v>
      </c>
      <c r="T5" s="126" t="s">
        <v>80</v>
      </c>
      <c r="U5" s="187" t="s">
        <v>92</v>
      </c>
      <c r="V5" s="49"/>
      <c r="W5" s="186" t="s">
        <v>206</v>
      </c>
      <c r="X5" s="154"/>
      <c r="Y5" s="154"/>
      <c r="AB5" s="31"/>
    </row>
    <row r="6" spans="1:30" ht="3" customHeight="1" thickTop="1" x14ac:dyDescent="0.25">
      <c r="A6" s="34"/>
      <c r="B6" s="34"/>
      <c r="C6" s="34"/>
      <c r="D6" s="34"/>
      <c r="E6" s="34"/>
      <c r="F6" s="35"/>
      <c r="G6" s="35"/>
      <c r="H6" s="35"/>
      <c r="I6" s="35"/>
      <c r="J6" s="103"/>
      <c r="K6" s="49"/>
      <c r="M6" s="82"/>
      <c r="N6" s="103"/>
      <c r="O6" s="82"/>
      <c r="P6" s="98"/>
      <c r="Q6" s="111"/>
      <c r="R6" s="34"/>
      <c r="S6" s="82"/>
      <c r="T6" s="98"/>
      <c r="U6" s="188"/>
      <c r="W6" s="90"/>
    </row>
    <row r="7" spans="1:30" x14ac:dyDescent="0.25">
      <c r="A7" s="34"/>
      <c r="B7" s="34"/>
      <c r="C7" s="34"/>
      <c r="D7" s="34" t="s">
        <v>2</v>
      </c>
      <c r="E7" s="34"/>
      <c r="F7" s="35"/>
      <c r="G7" s="35"/>
      <c r="H7" s="35"/>
      <c r="I7" s="35"/>
      <c r="J7" s="103"/>
      <c r="K7" s="49"/>
      <c r="M7" s="82"/>
      <c r="N7" s="103"/>
      <c r="O7" s="82"/>
      <c r="P7" s="98"/>
      <c r="Q7" s="90"/>
      <c r="R7" s="34"/>
      <c r="S7" s="82"/>
      <c r="T7" s="98"/>
      <c r="U7" s="188"/>
      <c r="W7" s="90"/>
    </row>
    <row r="8" spans="1:30" x14ac:dyDescent="0.25">
      <c r="A8" s="34"/>
      <c r="B8" s="34"/>
      <c r="C8" s="34"/>
      <c r="D8" s="34"/>
      <c r="E8" s="36" t="s">
        <v>78</v>
      </c>
      <c r="F8" s="37"/>
      <c r="G8" s="37">
        <v>289990.3</v>
      </c>
      <c r="H8" s="37">
        <v>184734.44</v>
      </c>
      <c r="I8" s="37">
        <f>'projected actual 2021'!H7</f>
        <v>191416.49</v>
      </c>
      <c r="J8" s="104"/>
      <c r="K8" s="50">
        <v>234885</v>
      </c>
      <c r="M8" s="83">
        <f>271742+25000</f>
        <v>296742</v>
      </c>
      <c r="N8" s="104"/>
      <c r="O8" s="83">
        <f>88700+25000</f>
        <v>113700</v>
      </c>
      <c r="P8" s="99">
        <v>49600</v>
      </c>
      <c r="Q8" s="91">
        <v>163300</v>
      </c>
      <c r="R8" s="80"/>
      <c r="S8" s="83">
        <v>49600</v>
      </c>
      <c r="T8" s="99">
        <v>253985</v>
      </c>
      <c r="U8" s="189">
        <v>303585</v>
      </c>
      <c r="W8" s="91">
        <v>302400</v>
      </c>
    </row>
    <row r="9" spans="1:30" hidden="1" outlineLevel="1" x14ac:dyDescent="0.25">
      <c r="A9" s="34"/>
      <c r="B9" s="34"/>
      <c r="C9" s="34"/>
      <c r="D9" s="34"/>
      <c r="E9" s="36" t="s">
        <v>90</v>
      </c>
      <c r="F9" s="37"/>
      <c r="G9" s="37">
        <v>0</v>
      </c>
      <c r="H9" s="37"/>
      <c r="I9" s="37"/>
      <c r="J9" s="104"/>
      <c r="K9" s="50">
        <v>0</v>
      </c>
      <c r="M9" s="83">
        <v>0</v>
      </c>
      <c r="N9" s="104"/>
      <c r="O9" s="83"/>
      <c r="P9" s="99"/>
      <c r="Q9" s="91">
        <v>0</v>
      </c>
      <c r="R9" s="80"/>
      <c r="S9" s="83"/>
      <c r="T9" s="99"/>
      <c r="U9" s="189">
        <v>0</v>
      </c>
      <c r="W9" s="153">
        <v>0</v>
      </c>
    </row>
    <row r="10" spans="1:30" collapsed="1" x14ac:dyDescent="0.25">
      <c r="A10" s="34"/>
      <c r="B10" s="34"/>
      <c r="C10" s="34"/>
      <c r="D10" s="34"/>
      <c r="E10" s="34" t="s">
        <v>52</v>
      </c>
      <c r="F10" s="35"/>
      <c r="G10" s="35">
        <v>150000</v>
      </c>
      <c r="H10" s="35">
        <v>110892.39</v>
      </c>
      <c r="I10" s="35">
        <f>'projected actual 2021'!H7</f>
        <v>191416.49</v>
      </c>
      <c r="J10" s="103"/>
      <c r="K10" s="49">
        <v>150000</v>
      </c>
      <c r="M10" s="82">
        <v>250000</v>
      </c>
      <c r="N10" s="103"/>
      <c r="O10" s="82">
        <v>250000</v>
      </c>
      <c r="P10" s="98">
        <v>0</v>
      </c>
      <c r="Q10" s="90">
        <v>250000</v>
      </c>
      <c r="R10" s="80"/>
      <c r="S10" s="82">
        <v>0</v>
      </c>
      <c r="T10" s="98">
        <v>250000</v>
      </c>
      <c r="U10" s="188">
        <v>250000</v>
      </c>
      <c r="W10" s="90">
        <v>150000</v>
      </c>
    </row>
    <row r="11" spans="1:30" x14ac:dyDescent="0.25">
      <c r="A11" s="34"/>
      <c r="B11" s="34"/>
      <c r="C11" s="34"/>
      <c r="D11" s="34"/>
      <c r="E11" s="34" t="s">
        <v>49</v>
      </c>
      <c r="F11" s="35"/>
      <c r="G11" s="35">
        <v>150000</v>
      </c>
      <c r="H11" s="35">
        <v>150000</v>
      </c>
      <c r="I11" s="35">
        <f>'projected actual 2021'!H8</f>
        <v>139107.60999999999</v>
      </c>
      <c r="J11" s="103"/>
      <c r="K11" s="49">
        <v>150000</v>
      </c>
      <c r="M11" s="82">
        <v>150000</v>
      </c>
      <c r="N11" s="103"/>
      <c r="O11" s="82">
        <v>150000</v>
      </c>
      <c r="P11" s="98">
        <v>0</v>
      </c>
      <c r="Q11" s="90">
        <v>150000</v>
      </c>
      <c r="R11" s="80"/>
      <c r="S11" s="82">
        <v>0</v>
      </c>
      <c r="T11" s="98">
        <v>150000</v>
      </c>
      <c r="U11" s="188">
        <v>150000</v>
      </c>
      <c r="W11" s="90">
        <v>0</v>
      </c>
    </row>
    <row r="12" spans="1:30" x14ac:dyDescent="0.25">
      <c r="A12" s="34"/>
      <c r="B12" s="34"/>
      <c r="C12" s="34"/>
      <c r="D12" s="34"/>
      <c r="E12" s="34" t="s">
        <v>3</v>
      </c>
      <c r="F12" s="35"/>
      <c r="G12" s="35">
        <v>0</v>
      </c>
      <c r="H12" s="35"/>
      <c r="I12" s="35">
        <v>0</v>
      </c>
      <c r="J12" s="103"/>
      <c r="K12" s="49">
        <v>5000</v>
      </c>
      <c r="M12" s="82">
        <v>5000</v>
      </c>
      <c r="N12" s="103"/>
      <c r="O12" s="82">
        <v>0</v>
      </c>
      <c r="P12" s="98">
        <v>0</v>
      </c>
      <c r="Q12" s="90">
        <v>0</v>
      </c>
      <c r="R12" s="80"/>
      <c r="S12" s="82">
        <v>0</v>
      </c>
      <c r="T12" s="98">
        <v>0</v>
      </c>
      <c r="U12" s="188">
        <v>0</v>
      </c>
      <c r="W12" s="90">
        <v>25000</v>
      </c>
      <c r="X12" s="40" t="s">
        <v>176</v>
      </c>
    </row>
    <row r="13" spans="1:30" hidden="1" outlineLevel="1" x14ac:dyDescent="0.25">
      <c r="A13" s="34"/>
      <c r="B13" s="34"/>
      <c r="C13" s="34"/>
      <c r="D13" s="34"/>
      <c r="E13" s="34" t="s">
        <v>67</v>
      </c>
      <c r="F13" s="35"/>
      <c r="G13" s="35">
        <v>0</v>
      </c>
      <c r="H13" s="35"/>
      <c r="I13" s="35">
        <v>0</v>
      </c>
      <c r="J13" s="103"/>
      <c r="K13" s="49">
        <v>0</v>
      </c>
      <c r="M13" s="82">
        <v>50000</v>
      </c>
      <c r="N13" s="103"/>
      <c r="O13" s="89">
        <v>0</v>
      </c>
      <c r="P13" s="98">
        <v>0</v>
      </c>
      <c r="Q13" s="90">
        <v>0</v>
      </c>
      <c r="R13" s="80"/>
      <c r="S13" s="82">
        <v>0</v>
      </c>
      <c r="T13" s="98">
        <v>0</v>
      </c>
      <c r="U13" s="188">
        <v>0</v>
      </c>
      <c r="W13" s="90">
        <v>0</v>
      </c>
    </row>
    <row r="14" spans="1:30" collapsed="1" x14ac:dyDescent="0.25">
      <c r="A14" s="34"/>
      <c r="B14" s="34"/>
      <c r="C14" s="34"/>
      <c r="D14" s="34"/>
      <c r="E14" s="34" t="s">
        <v>4</v>
      </c>
      <c r="F14" s="35"/>
      <c r="G14" s="35">
        <v>254500</v>
      </c>
      <c r="H14" s="35">
        <v>77000</v>
      </c>
      <c r="I14" s="35">
        <f>'projected actual 2021'!H9</f>
        <v>47000</v>
      </c>
      <c r="J14" s="103"/>
      <c r="K14" s="49">
        <f>280000+4000</f>
        <v>284000</v>
      </c>
      <c r="M14" s="82">
        <v>254000</v>
      </c>
      <c r="N14" s="103"/>
      <c r="O14" s="82">
        <v>80000</v>
      </c>
      <c r="P14" s="98">
        <v>0</v>
      </c>
      <c r="Q14" s="90">
        <v>80000</v>
      </c>
      <c r="R14" s="80"/>
      <c r="S14" s="82">
        <v>0</v>
      </c>
      <c r="T14" s="98">
        <v>160000</v>
      </c>
      <c r="U14" s="188">
        <v>160000</v>
      </c>
      <c r="W14" s="90">
        <v>75000</v>
      </c>
      <c r="Z14" s="23"/>
      <c r="AA14" s="23"/>
      <c r="AC14" s="23"/>
      <c r="AD14" s="129"/>
    </row>
    <row r="15" spans="1:30" x14ac:dyDescent="0.25">
      <c r="A15" s="34"/>
      <c r="B15" s="34"/>
      <c r="C15" s="34"/>
      <c r="D15" s="34"/>
      <c r="E15" s="34" t="s">
        <v>5</v>
      </c>
      <c r="F15" s="35"/>
      <c r="G15" s="35">
        <v>24600</v>
      </c>
      <c r="H15" s="35">
        <v>0</v>
      </c>
      <c r="I15" s="35">
        <f>'projected actual 2021'!H10</f>
        <v>7000</v>
      </c>
      <c r="J15" s="103"/>
      <c r="K15" s="49">
        <v>31500</v>
      </c>
      <c r="M15" s="82">
        <v>25000</v>
      </c>
      <c r="N15" s="103"/>
      <c r="O15" s="82">
        <v>0</v>
      </c>
      <c r="P15" s="98">
        <v>0</v>
      </c>
      <c r="Q15" s="90">
        <v>0</v>
      </c>
      <c r="R15" s="80"/>
      <c r="S15" s="82">
        <v>0</v>
      </c>
      <c r="T15" s="98">
        <v>35000</v>
      </c>
      <c r="U15" s="188">
        <v>35000</v>
      </c>
      <c r="W15" s="90">
        <v>32000</v>
      </c>
    </row>
    <row r="16" spans="1:30" hidden="1" outlineLevel="1" x14ac:dyDescent="0.25">
      <c r="A16" s="34"/>
      <c r="B16" s="34"/>
      <c r="C16" s="34"/>
      <c r="D16" s="34"/>
      <c r="E16" s="34" t="s">
        <v>73</v>
      </c>
      <c r="F16" s="35"/>
      <c r="G16" s="35">
        <v>0</v>
      </c>
      <c r="H16" s="35"/>
      <c r="I16" s="35"/>
      <c r="J16" s="103"/>
      <c r="K16" s="49">
        <v>0</v>
      </c>
      <c r="M16" s="82"/>
      <c r="N16" s="103"/>
      <c r="O16" s="82"/>
      <c r="P16" s="98"/>
      <c r="Q16" s="90">
        <v>0</v>
      </c>
      <c r="R16" s="80"/>
      <c r="S16" s="82"/>
      <c r="T16" s="98"/>
      <c r="U16" s="188"/>
      <c r="W16" s="90"/>
    </row>
    <row r="17" spans="1:31" hidden="1" outlineLevel="1" x14ac:dyDescent="0.25">
      <c r="A17" s="34"/>
      <c r="B17" s="34"/>
      <c r="C17" s="34"/>
      <c r="D17" s="34"/>
      <c r="E17" s="34" t="s">
        <v>73</v>
      </c>
      <c r="F17" s="35"/>
      <c r="G17" s="35">
        <v>-750</v>
      </c>
      <c r="H17" s="35">
        <v>0</v>
      </c>
      <c r="I17" s="35">
        <v>0</v>
      </c>
      <c r="J17" s="103"/>
      <c r="K17" s="49">
        <v>0</v>
      </c>
      <c r="M17" s="82"/>
      <c r="N17" s="103"/>
      <c r="O17" s="82">
        <v>0</v>
      </c>
      <c r="P17" s="98">
        <v>0</v>
      </c>
      <c r="Q17" s="90">
        <v>0</v>
      </c>
      <c r="R17" s="80"/>
      <c r="S17" s="82">
        <v>0</v>
      </c>
      <c r="T17" s="98">
        <v>0</v>
      </c>
      <c r="U17" s="188">
        <v>0</v>
      </c>
      <c r="W17" s="90">
        <v>0</v>
      </c>
    </row>
    <row r="18" spans="1:31" hidden="1" outlineLevel="1" x14ac:dyDescent="0.25">
      <c r="A18" s="34"/>
      <c r="B18" s="34"/>
      <c r="C18" s="34"/>
      <c r="D18" s="34"/>
      <c r="E18" s="34" t="s">
        <v>70</v>
      </c>
      <c r="F18" s="35"/>
      <c r="G18" s="35">
        <v>70</v>
      </c>
      <c r="H18" s="35">
        <v>0</v>
      </c>
      <c r="I18" s="35">
        <v>0</v>
      </c>
      <c r="J18" s="103"/>
      <c r="K18" s="49">
        <v>0</v>
      </c>
      <c r="M18" s="82">
        <v>0</v>
      </c>
      <c r="N18" s="103"/>
      <c r="O18" s="82">
        <v>0</v>
      </c>
      <c r="P18" s="98">
        <v>0</v>
      </c>
      <c r="Q18" s="90">
        <v>0</v>
      </c>
      <c r="R18" s="80"/>
      <c r="S18" s="82">
        <v>0</v>
      </c>
      <c r="T18" s="98">
        <v>0</v>
      </c>
      <c r="U18" s="188">
        <v>0</v>
      </c>
      <c r="W18" s="90">
        <v>0</v>
      </c>
    </row>
    <row r="19" spans="1:31" collapsed="1" x14ac:dyDescent="0.25">
      <c r="A19" s="34"/>
      <c r="B19" s="34"/>
      <c r="C19" s="34"/>
      <c r="D19" s="34"/>
      <c r="E19" s="34" t="s">
        <v>94</v>
      </c>
      <c r="F19" s="35"/>
      <c r="G19" s="35"/>
      <c r="H19" s="35">
        <v>53940.94</v>
      </c>
      <c r="I19" s="35">
        <f>'projected actual 2021'!H43</f>
        <v>86000</v>
      </c>
      <c r="J19" s="103"/>
      <c r="K19" s="49"/>
      <c r="M19" s="82"/>
      <c r="N19" s="103"/>
      <c r="O19" s="82"/>
      <c r="P19" s="98"/>
      <c r="Q19" s="90"/>
      <c r="R19" s="80"/>
      <c r="S19" s="82"/>
      <c r="T19" s="98"/>
      <c r="U19" s="188">
        <v>0</v>
      </c>
      <c r="W19" s="90">
        <v>7000</v>
      </c>
    </row>
    <row r="20" spans="1:31" x14ac:dyDescent="0.25">
      <c r="A20" s="34"/>
      <c r="B20" s="34"/>
      <c r="C20" s="34"/>
      <c r="D20" s="34"/>
      <c r="E20" s="34" t="s">
        <v>6</v>
      </c>
      <c r="F20" s="117"/>
      <c r="G20" s="117">
        <v>2025.76</v>
      </c>
      <c r="H20" s="117">
        <v>238.7</v>
      </c>
      <c r="I20" s="117">
        <v>0</v>
      </c>
      <c r="J20" s="103"/>
      <c r="K20" s="77">
        <v>1000</v>
      </c>
      <c r="M20" s="82">
        <v>1000</v>
      </c>
      <c r="N20" s="103"/>
      <c r="O20" s="82">
        <v>720</v>
      </c>
      <c r="P20" s="98">
        <v>280</v>
      </c>
      <c r="Q20" s="90">
        <v>1000</v>
      </c>
      <c r="R20" s="80"/>
      <c r="S20" s="82">
        <v>280</v>
      </c>
      <c r="T20" s="98">
        <v>720</v>
      </c>
      <c r="U20" s="188">
        <v>1000</v>
      </c>
      <c r="W20" s="90">
        <v>100</v>
      </c>
    </row>
    <row r="21" spans="1:31" ht="15.75" hidden="1" outlineLevel="1" thickBot="1" x14ac:dyDescent="0.3">
      <c r="A21" s="34"/>
      <c r="B21" s="34"/>
      <c r="C21" s="34"/>
      <c r="D21" s="34"/>
      <c r="E21" s="34" t="s">
        <v>56</v>
      </c>
      <c r="F21" s="35"/>
      <c r="G21" s="38"/>
      <c r="H21" s="130"/>
      <c r="I21" s="35"/>
      <c r="J21" s="103"/>
      <c r="K21" s="55"/>
      <c r="M21" s="82">
        <v>0</v>
      </c>
      <c r="N21" s="103"/>
      <c r="O21" s="84"/>
      <c r="P21" s="79"/>
      <c r="Q21" s="112">
        <f>SUM(O21:P21)</f>
        <v>0</v>
      </c>
      <c r="R21" s="80"/>
      <c r="S21" s="84"/>
      <c r="T21" s="79"/>
      <c r="U21" s="190">
        <v>0</v>
      </c>
      <c r="W21" s="112"/>
    </row>
    <row r="22" spans="1:31" collapsed="1" x14ac:dyDescent="0.25">
      <c r="A22" s="34"/>
      <c r="B22" s="34"/>
      <c r="C22" s="34"/>
      <c r="D22" s="34" t="s">
        <v>7</v>
      </c>
      <c r="E22" s="34"/>
      <c r="F22" s="117"/>
      <c r="G22" s="117">
        <f>ROUND(SUM(G7:G21),5)</f>
        <v>870436.06</v>
      </c>
      <c r="H22" s="117">
        <f>SUM(H8:H21)</f>
        <v>576806.47</v>
      </c>
      <c r="I22" s="117">
        <f>SUM(I10:I20)</f>
        <v>470524.1</v>
      </c>
      <c r="J22" s="103"/>
      <c r="K22" s="77">
        <f>ROUND(SUM(K7:K21),5)</f>
        <v>856385</v>
      </c>
      <c r="M22" s="109">
        <f>ROUND(SUM(M7:M21),5)</f>
        <v>1031742</v>
      </c>
      <c r="N22" s="103"/>
      <c r="O22" s="109">
        <f>SUM(O8:O21)</f>
        <v>594420</v>
      </c>
      <c r="P22" s="108">
        <f>SUM(P8:P21)</f>
        <v>49880</v>
      </c>
      <c r="Q22" s="113">
        <f>SUM(Q8:Q20)</f>
        <v>644300</v>
      </c>
      <c r="R22" s="80"/>
      <c r="S22" s="109">
        <v>49880</v>
      </c>
      <c r="T22" s="108">
        <v>849705</v>
      </c>
      <c r="U22" s="191">
        <f>SUM(U8:U20)</f>
        <v>899585</v>
      </c>
      <c r="W22" s="113">
        <f>SUM(W8:W20)</f>
        <v>591500</v>
      </c>
    </row>
    <row r="23" spans="1:31" x14ac:dyDescent="0.25">
      <c r="A23" s="34"/>
      <c r="B23" s="34"/>
      <c r="C23" s="34"/>
      <c r="D23" s="34" t="s">
        <v>8</v>
      </c>
      <c r="E23" s="34"/>
      <c r="F23" s="35"/>
      <c r="G23" s="35"/>
      <c r="H23" s="35"/>
      <c r="I23" s="35"/>
      <c r="J23" s="103"/>
      <c r="K23" s="49"/>
      <c r="M23" s="82"/>
      <c r="N23" s="103"/>
      <c r="O23" s="82"/>
      <c r="P23" s="98"/>
      <c r="Q23" s="90">
        <f>SUM(O23:P23)</f>
        <v>0</v>
      </c>
      <c r="R23" s="80"/>
      <c r="S23" s="82"/>
      <c r="T23" s="98"/>
      <c r="U23" s="188"/>
      <c r="W23" s="90"/>
    </row>
    <row r="24" spans="1:31" x14ac:dyDescent="0.25">
      <c r="A24" s="34"/>
      <c r="B24" s="34"/>
      <c r="C24" s="34"/>
      <c r="D24" s="34"/>
      <c r="E24" s="34" t="s">
        <v>9</v>
      </c>
      <c r="F24" s="35"/>
      <c r="G24" s="35">
        <v>106596.23</v>
      </c>
      <c r="H24" s="35">
        <v>126498.65</v>
      </c>
      <c r="I24" s="35">
        <f>'projected actual 2021'!H14</f>
        <v>65000</v>
      </c>
      <c r="J24" s="103"/>
      <c r="K24" s="49">
        <v>121300</v>
      </c>
      <c r="M24" s="82" t="e">
        <f>+Regional!#REF!</f>
        <v>#REF!</v>
      </c>
      <c r="N24" s="103"/>
      <c r="O24" s="82">
        <v>101700</v>
      </c>
      <c r="P24" s="98">
        <v>0</v>
      </c>
      <c r="Q24" s="90">
        <v>101700</v>
      </c>
      <c r="R24" s="80"/>
      <c r="S24" s="82">
        <v>0</v>
      </c>
      <c r="T24" s="98">
        <v>100000</v>
      </c>
      <c r="U24" s="188">
        <v>100000</v>
      </c>
      <c r="W24" s="90">
        <v>150000</v>
      </c>
      <c r="Y24" s="49"/>
      <c r="AC24" s="49"/>
    </row>
    <row r="25" spans="1:31" x14ac:dyDescent="0.25">
      <c r="A25" s="34"/>
      <c r="B25" s="34"/>
      <c r="C25" s="34"/>
      <c r="D25" s="34"/>
      <c r="E25" s="34" t="s">
        <v>10</v>
      </c>
      <c r="F25" s="35"/>
      <c r="G25" s="35">
        <v>306669.39</v>
      </c>
      <c r="H25" s="35">
        <v>13557.48</v>
      </c>
      <c r="I25" s="35">
        <f>'projected actual 2021'!H15</f>
        <v>40000</v>
      </c>
      <c r="J25" s="103"/>
      <c r="K25" s="49">
        <v>285400</v>
      </c>
      <c r="M25" s="82" t="e">
        <f>+Provincial!#REF!</f>
        <v>#REF!</v>
      </c>
      <c r="N25" s="103"/>
      <c r="O25" s="82">
        <v>20000</v>
      </c>
      <c r="P25" s="98">
        <v>0</v>
      </c>
      <c r="Q25" s="90">
        <v>20000</v>
      </c>
      <c r="R25" s="80"/>
      <c r="S25" s="82">
        <v>0</v>
      </c>
      <c r="T25" s="98">
        <v>268000</v>
      </c>
      <c r="U25" s="188">
        <v>268000</v>
      </c>
      <c r="W25" s="90">
        <v>140000</v>
      </c>
      <c r="AE25" s="49"/>
    </row>
    <row r="26" spans="1:31" x14ac:dyDescent="0.25">
      <c r="A26" s="34"/>
      <c r="B26" s="34"/>
      <c r="C26" s="34"/>
      <c r="D26" s="34"/>
      <c r="E26" s="34" t="s">
        <v>11</v>
      </c>
      <c r="F26" s="35"/>
      <c r="G26" s="35">
        <v>72742.34</v>
      </c>
      <c r="H26" s="35"/>
      <c r="I26" s="35">
        <v>0</v>
      </c>
      <c r="J26" s="103"/>
      <c r="K26" s="49">
        <v>73000</v>
      </c>
      <c r="M26" s="82">
        <f>+National!K12</f>
        <v>66000</v>
      </c>
      <c r="N26" s="103"/>
      <c r="O26" s="82">
        <v>1000</v>
      </c>
      <c r="P26" s="98">
        <v>0</v>
      </c>
      <c r="Q26" s="90">
        <v>1000</v>
      </c>
      <c r="R26" s="80"/>
      <c r="S26" s="82">
        <v>0</v>
      </c>
      <c r="T26" s="98">
        <v>70000</v>
      </c>
      <c r="U26" s="188">
        <v>70000</v>
      </c>
      <c r="W26" s="90">
        <v>60000</v>
      </c>
    </row>
    <row r="27" spans="1:31" hidden="1" outlineLevel="1" x14ac:dyDescent="0.25">
      <c r="A27" s="34"/>
      <c r="B27" s="34"/>
      <c r="C27" s="34"/>
      <c r="D27" s="34"/>
      <c r="E27" s="34" t="s">
        <v>53</v>
      </c>
      <c r="F27" s="35"/>
      <c r="G27" s="35">
        <v>0</v>
      </c>
      <c r="H27" s="35">
        <v>53.16</v>
      </c>
      <c r="I27" s="35">
        <v>0</v>
      </c>
      <c r="J27" s="103"/>
      <c r="K27" s="49">
        <v>10000</v>
      </c>
      <c r="M27" s="82">
        <v>10000</v>
      </c>
      <c r="N27" s="103"/>
      <c r="O27" s="82">
        <v>0</v>
      </c>
      <c r="P27" s="98"/>
      <c r="Q27" s="90">
        <v>0</v>
      </c>
      <c r="R27" s="80"/>
      <c r="S27" s="82">
        <v>0</v>
      </c>
      <c r="T27" s="98">
        <v>0</v>
      </c>
      <c r="U27" s="188">
        <v>0</v>
      </c>
      <c r="W27" s="90"/>
    </row>
    <row r="28" spans="1:31" collapsed="1" x14ac:dyDescent="0.25">
      <c r="A28" s="34"/>
      <c r="B28" s="34"/>
      <c r="C28" s="34"/>
      <c r="D28" s="34"/>
      <c r="E28" s="34" t="s">
        <v>12</v>
      </c>
      <c r="F28" s="35"/>
      <c r="G28" s="35">
        <v>22216.7</v>
      </c>
      <c r="H28" s="35"/>
      <c r="I28" s="35"/>
      <c r="J28" s="103"/>
      <c r="K28" s="49">
        <v>35000</v>
      </c>
      <c r="M28" s="82">
        <v>10000</v>
      </c>
      <c r="N28" s="103"/>
      <c r="O28" s="82">
        <v>0</v>
      </c>
      <c r="P28" s="98">
        <v>0</v>
      </c>
      <c r="Q28" s="90">
        <v>0</v>
      </c>
      <c r="R28" s="80"/>
      <c r="S28" s="82">
        <v>0</v>
      </c>
      <c r="T28" s="98">
        <v>25000</v>
      </c>
      <c r="U28" s="188">
        <v>25000</v>
      </c>
      <c r="W28" s="90">
        <v>10000</v>
      </c>
    </row>
    <row r="29" spans="1:31" x14ac:dyDescent="0.25">
      <c r="A29" s="34"/>
      <c r="B29" s="34"/>
      <c r="C29" s="34"/>
      <c r="D29" s="34"/>
      <c r="E29" s="34" t="s">
        <v>177</v>
      </c>
      <c r="F29" s="35"/>
      <c r="G29" s="35"/>
      <c r="H29" s="35"/>
      <c r="I29" s="35"/>
      <c r="J29" s="103"/>
      <c r="K29" s="49"/>
      <c r="M29" s="82"/>
      <c r="N29" s="103"/>
      <c r="O29" s="82"/>
      <c r="P29" s="98"/>
      <c r="Q29" s="90"/>
      <c r="R29" s="80"/>
      <c r="S29" s="82"/>
      <c r="T29" s="98"/>
      <c r="U29" s="188"/>
      <c r="W29" s="90">
        <v>10000</v>
      </c>
    </row>
    <row r="30" spans="1:31" x14ac:dyDescent="0.25">
      <c r="A30" s="34"/>
      <c r="B30" s="34"/>
      <c r="C30" s="34"/>
      <c r="D30" s="34"/>
      <c r="E30" s="34" t="s">
        <v>178</v>
      </c>
      <c r="F30" s="35"/>
      <c r="G30" s="35"/>
      <c r="H30" s="35"/>
      <c r="I30" s="35"/>
      <c r="J30" s="103"/>
      <c r="K30" s="49"/>
      <c r="M30" s="82"/>
      <c r="N30" s="103"/>
      <c r="O30" s="82"/>
      <c r="P30" s="98"/>
      <c r="Q30" s="90"/>
      <c r="R30" s="80"/>
      <c r="S30" s="82"/>
      <c r="T30" s="98"/>
      <c r="U30" s="188"/>
      <c r="W30" s="90">
        <v>10000</v>
      </c>
    </row>
    <row r="31" spans="1:31" x14ac:dyDescent="0.25">
      <c r="A31" s="34"/>
      <c r="B31" s="34"/>
      <c r="C31" s="34"/>
      <c r="D31" s="34"/>
      <c r="E31" s="36" t="s">
        <v>79</v>
      </c>
      <c r="F31" s="37"/>
      <c r="G31" s="37">
        <v>59108.74</v>
      </c>
      <c r="H31" s="37">
        <v>25349.48</v>
      </c>
      <c r="I31" s="37">
        <v>40000</v>
      </c>
      <c r="J31" s="104"/>
      <c r="K31" s="50">
        <v>63000</v>
      </c>
      <c r="M31" s="83">
        <f>63000</f>
        <v>63000</v>
      </c>
      <c r="N31" s="104"/>
      <c r="O31" s="83">
        <v>30000</v>
      </c>
      <c r="P31" s="99">
        <v>0</v>
      </c>
      <c r="Q31" s="91">
        <v>30000</v>
      </c>
      <c r="R31" s="80"/>
      <c r="S31" s="82">
        <v>0</v>
      </c>
      <c r="T31" s="99">
        <v>0</v>
      </c>
      <c r="U31" s="189">
        <v>0</v>
      </c>
      <c r="W31" s="91">
        <v>5000</v>
      </c>
    </row>
    <row r="32" spans="1:31" ht="15.75" thickBot="1" x14ac:dyDescent="0.3">
      <c r="A32" s="34"/>
      <c r="B32" s="34"/>
      <c r="C32" s="34"/>
      <c r="D32" s="34"/>
      <c r="E32" s="34" t="s">
        <v>13</v>
      </c>
      <c r="F32" s="35"/>
      <c r="G32" s="35">
        <v>3957.34</v>
      </c>
      <c r="H32" s="38"/>
      <c r="I32" s="38"/>
      <c r="J32" s="103"/>
      <c r="K32" s="49">
        <v>6000</v>
      </c>
      <c r="M32" s="82">
        <v>6000</v>
      </c>
      <c r="N32" s="103"/>
      <c r="O32" s="82">
        <v>0</v>
      </c>
      <c r="P32" s="98">
        <v>0</v>
      </c>
      <c r="Q32" s="90">
        <v>0</v>
      </c>
      <c r="R32" s="80"/>
      <c r="S32" s="82">
        <v>0</v>
      </c>
      <c r="T32" s="98">
        <v>0</v>
      </c>
      <c r="U32" s="188">
        <v>0</v>
      </c>
      <c r="W32" s="90">
        <v>0</v>
      </c>
    </row>
    <row r="33" spans="1:23" ht="15.75" thickBot="1" x14ac:dyDescent="0.3">
      <c r="A33" s="34"/>
      <c r="B33" s="34"/>
      <c r="C33" s="34"/>
      <c r="D33" s="34" t="s">
        <v>14</v>
      </c>
      <c r="E33" s="34"/>
      <c r="F33" s="35"/>
      <c r="G33" s="39">
        <f>ROUND(SUM(G23:G32),5)</f>
        <v>571290.74</v>
      </c>
      <c r="H33" s="38">
        <f>SUM(H24:H32)</f>
        <v>165458.77000000002</v>
      </c>
      <c r="I33" s="38">
        <f>SUM(I24:I32)</f>
        <v>145000</v>
      </c>
      <c r="J33" s="103"/>
      <c r="K33" s="51">
        <f>ROUND(SUM(K23:K32),5)</f>
        <v>593700</v>
      </c>
      <c r="M33" s="85" t="e">
        <f>ROUND(SUM(M23:M32),5)</f>
        <v>#REF!</v>
      </c>
      <c r="N33" s="103"/>
      <c r="O33" s="109">
        <f t="shared" ref="O33:P33" si="0">ROUND(SUM(O23:O32),5)</f>
        <v>152700</v>
      </c>
      <c r="P33" s="108">
        <f t="shared" si="0"/>
        <v>0</v>
      </c>
      <c r="Q33" s="113">
        <f>SUM(Q24:Q32)</f>
        <v>152700</v>
      </c>
      <c r="R33" s="80"/>
      <c r="S33" s="109">
        <v>0</v>
      </c>
      <c r="T33" s="108">
        <v>463000</v>
      </c>
      <c r="U33" s="191">
        <f>SUM(U24:U32)</f>
        <v>463000</v>
      </c>
      <c r="W33" s="113">
        <f>SUM(W24:W32)</f>
        <v>385000</v>
      </c>
    </row>
    <row r="34" spans="1:23" x14ac:dyDescent="0.25">
      <c r="A34" s="34"/>
      <c r="B34" s="34"/>
      <c r="C34" s="34" t="s">
        <v>15</v>
      </c>
      <c r="D34" s="34"/>
      <c r="E34" s="34"/>
      <c r="F34" s="35"/>
      <c r="G34" s="35">
        <f>ROUND(G22-G33,5)</f>
        <v>299145.32</v>
      </c>
      <c r="H34" s="35">
        <f>H22-H33</f>
        <v>411347.69999999995</v>
      </c>
      <c r="I34" s="35">
        <f>I22-I33</f>
        <v>325524.09999999998</v>
      </c>
      <c r="J34" s="103"/>
      <c r="K34" s="49">
        <f>ROUND(K22-K33,5)</f>
        <v>262685</v>
      </c>
      <c r="M34" s="82" t="e">
        <f>ROUND(M22-M33,5)</f>
        <v>#REF!</v>
      </c>
      <c r="N34" s="103"/>
      <c r="O34" s="82">
        <f>O22-O33</f>
        <v>441720</v>
      </c>
      <c r="P34" s="98">
        <f>P22-P33</f>
        <v>49880</v>
      </c>
      <c r="Q34" s="90">
        <f>SUM(O34:P34)</f>
        <v>491600</v>
      </c>
      <c r="R34" s="80"/>
      <c r="S34" s="82">
        <v>49880</v>
      </c>
      <c r="T34" s="98">
        <v>386705</v>
      </c>
      <c r="U34" s="188">
        <f>U22-U33</f>
        <v>436585</v>
      </c>
      <c r="W34" s="90">
        <f>W22-W33</f>
        <v>206500</v>
      </c>
    </row>
    <row r="35" spans="1:23" x14ac:dyDescent="0.25">
      <c r="A35" s="34"/>
      <c r="B35" s="34"/>
      <c r="C35" s="34"/>
      <c r="D35" s="34" t="s">
        <v>74</v>
      </c>
      <c r="E35" s="34"/>
      <c r="F35" s="35"/>
      <c r="G35" s="35"/>
      <c r="H35" s="35"/>
      <c r="I35" s="35"/>
      <c r="J35" s="103"/>
      <c r="K35" s="49"/>
      <c r="M35" s="82"/>
      <c r="N35" s="103"/>
      <c r="O35" s="82"/>
      <c r="P35" s="98"/>
      <c r="Q35" s="90">
        <f>SUM(O35:P35)</f>
        <v>0</v>
      </c>
      <c r="R35" s="80"/>
      <c r="S35" s="82">
        <v>0</v>
      </c>
      <c r="T35" s="98"/>
      <c r="U35" s="188"/>
      <c r="W35" s="90"/>
    </row>
    <row r="36" spans="1:23" x14ac:dyDescent="0.25">
      <c r="A36" s="34"/>
      <c r="B36" s="34"/>
      <c r="C36" s="34"/>
      <c r="D36" s="34"/>
      <c r="E36" s="34" t="s">
        <v>16</v>
      </c>
      <c r="F36" s="35"/>
      <c r="G36" s="35">
        <v>17409.54</v>
      </c>
      <c r="H36" s="35">
        <v>0</v>
      </c>
      <c r="I36" s="35">
        <v>0</v>
      </c>
      <c r="J36" s="103"/>
      <c r="K36" s="49">
        <v>15000</v>
      </c>
      <c r="M36" s="82">
        <v>16000</v>
      </c>
      <c r="N36" s="103"/>
      <c r="O36" s="82">
        <v>0</v>
      </c>
      <c r="P36" s="98">
        <v>15000</v>
      </c>
      <c r="Q36" s="90">
        <v>15000</v>
      </c>
      <c r="R36" s="80"/>
      <c r="S36" s="82">
        <v>15000</v>
      </c>
      <c r="T36" s="98">
        <v>0</v>
      </c>
      <c r="U36" s="188">
        <v>15000</v>
      </c>
      <c r="W36" s="90">
        <v>1000</v>
      </c>
    </row>
    <row r="37" spans="1:23" x14ac:dyDescent="0.25">
      <c r="A37" s="34"/>
      <c r="B37" s="34"/>
      <c r="C37" s="34"/>
      <c r="D37" s="34"/>
      <c r="E37" s="34" t="s">
        <v>17</v>
      </c>
      <c r="F37" s="35"/>
      <c r="G37" s="35">
        <v>8645.36</v>
      </c>
      <c r="H37" s="35">
        <v>1858.65</v>
      </c>
      <c r="I37" s="35">
        <v>0</v>
      </c>
      <c r="J37" s="103"/>
      <c r="K37" s="49">
        <v>20000</v>
      </c>
      <c r="M37" s="82">
        <v>9000</v>
      </c>
      <c r="N37" s="103"/>
      <c r="O37" s="82">
        <v>3000</v>
      </c>
      <c r="P37" s="98">
        <v>3750</v>
      </c>
      <c r="Q37" s="90">
        <v>6750</v>
      </c>
      <c r="R37" s="80"/>
      <c r="S37" s="82">
        <v>3750</v>
      </c>
      <c r="T37" s="98">
        <v>4250</v>
      </c>
      <c r="U37" s="188">
        <v>8000</v>
      </c>
      <c r="W37" s="90">
        <v>1000</v>
      </c>
    </row>
    <row r="38" spans="1:23" x14ac:dyDescent="0.25">
      <c r="A38" s="34"/>
      <c r="B38" s="34"/>
      <c r="C38" s="34"/>
      <c r="D38" s="34"/>
      <c r="E38" s="34" t="s">
        <v>18</v>
      </c>
      <c r="F38" s="35"/>
      <c r="G38" s="35">
        <v>4653.93</v>
      </c>
      <c r="H38" s="35">
        <v>1133.3</v>
      </c>
      <c r="I38" s="35">
        <f>'projected actual 2021'!H22</f>
        <v>6600</v>
      </c>
      <c r="J38" s="103"/>
      <c r="K38" s="49">
        <v>14000</v>
      </c>
      <c r="M38" s="82">
        <v>8000</v>
      </c>
      <c r="N38" s="103"/>
      <c r="O38" s="82">
        <v>6600</v>
      </c>
      <c r="P38" s="98">
        <v>1400</v>
      </c>
      <c r="Q38" s="90">
        <v>8000</v>
      </c>
      <c r="R38" s="80"/>
      <c r="S38" s="82">
        <v>1400</v>
      </c>
      <c r="T38" s="98">
        <v>3600</v>
      </c>
      <c r="U38" s="188">
        <v>5000</v>
      </c>
      <c r="W38" s="90">
        <v>5000</v>
      </c>
    </row>
    <row r="39" spans="1:23" ht="15.75" customHeight="1" x14ac:dyDescent="0.25">
      <c r="A39" s="34"/>
      <c r="B39" s="34"/>
      <c r="C39" s="34"/>
      <c r="D39" s="34"/>
      <c r="E39" s="34" t="s">
        <v>19</v>
      </c>
      <c r="F39" s="35"/>
      <c r="G39" s="35">
        <v>4702.67</v>
      </c>
      <c r="H39" s="35">
        <v>1856.05</v>
      </c>
      <c r="I39" s="35">
        <f>'projected actual 2021'!H23</f>
        <v>4800</v>
      </c>
      <c r="J39" s="103"/>
      <c r="K39" s="49">
        <v>9000</v>
      </c>
      <c r="M39" s="82">
        <v>6000</v>
      </c>
      <c r="N39" s="103"/>
      <c r="O39" s="82">
        <v>4000</v>
      </c>
      <c r="P39" s="98">
        <v>2000</v>
      </c>
      <c r="Q39" s="90">
        <v>6000</v>
      </c>
      <c r="R39" s="80"/>
      <c r="S39" s="82">
        <v>2000</v>
      </c>
      <c r="T39" s="98">
        <v>3000</v>
      </c>
      <c r="U39" s="188">
        <v>5000</v>
      </c>
      <c r="W39" s="90">
        <v>10000</v>
      </c>
    </row>
    <row r="40" spans="1:23" x14ac:dyDescent="0.25">
      <c r="A40" s="34"/>
      <c r="B40" s="34"/>
      <c r="C40" s="34"/>
      <c r="D40" s="34"/>
      <c r="E40" s="34" t="s">
        <v>20</v>
      </c>
      <c r="F40" s="35"/>
      <c r="G40" s="35">
        <v>1925.98</v>
      </c>
      <c r="H40" s="35">
        <v>562.49</v>
      </c>
      <c r="I40" s="35">
        <f>'projected actual 2021'!H24</f>
        <v>850</v>
      </c>
      <c r="J40" s="103"/>
      <c r="K40" s="49">
        <v>600</v>
      </c>
      <c r="M40" s="82">
        <v>1600</v>
      </c>
      <c r="N40" s="103"/>
      <c r="O40" s="82">
        <v>500</v>
      </c>
      <c r="P40" s="98">
        <v>200</v>
      </c>
      <c r="Q40" s="90">
        <v>700</v>
      </c>
      <c r="R40" s="80"/>
      <c r="S40" s="82">
        <v>200</v>
      </c>
      <c r="T40" s="98">
        <v>1800</v>
      </c>
      <c r="U40" s="188">
        <v>2000</v>
      </c>
      <c r="W40" s="90">
        <v>1500</v>
      </c>
    </row>
    <row r="41" spans="1:23" x14ac:dyDescent="0.25">
      <c r="A41" s="34"/>
      <c r="B41" s="34"/>
      <c r="C41" s="34"/>
      <c r="D41" s="34"/>
      <c r="E41" s="34" t="s">
        <v>21</v>
      </c>
      <c r="F41" s="35"/>
      <c r="G41" s="35">
        <v>27377.7</v>
      </c>
      <c r="H41" s="35">
        <v>19692.82</v>
      </c>
      <c r="I41" s="35">
        <f>'projected actual 2021'!H25</f>
        <v>34000</v>
      </c>
      <c r="J41" s="103"/>
      <c r="K41" s="49">
        <v>20000</v>
      </c>
      <c r="M41" s="82">
        <v>12000</v>
      </c>
      <c r="N41" s="103"/>
      <c r="O41" s="82">
        <v>10800</v>
      </c>
      <c r="P41" s="98">
        <v>1200</v>
      </c>
      <c r="Q41" s="90">
        <v>12000</v>
      </c>
      <c r="R41" s="80"/>
      <c r="S41" s="82">
        <v>1200</v>
      </c>
      <c r="T41" s="98">
        <v>13800</v>
      </c>
      <c r="U41" s="188">
        <v>15000</v>
      </c>
      <c r="W41" s="90">
        <v>15000</v>
      </c>
    </row>
    <row r="42" spans="1:23" x14ac:dyDescent="0.25">
      <c r="A42" s="34"/>
      <c r="B42" s="34"/>
      <c r="C42" s="34"/>
      <c r="D42" s="34"/>
      <c r="E42" s="34" t="s">
        <v>22</v>
      </c>
      <c r="F42" s="35"/>
      <c r="G42" s="35">
        <v>420</v>
      </c>
      <c r="H42" s="35">
        <v>541.25</v>
      </c>
      <c r="I42" s="35">
        <f>'projected actual 2021'!H26</f>
        <v>550</v>
      </c>
      <c r="J42" s="103"/>
      <c r="K42" s="49">
        <v>1000</v>
      </c>
      <c r="M42" s="82">
        <v>1000</v>
      </c>
      <c r="N42" s="103"/>
      <c r="O42" s="82">
        <v>700</v>
      </c>
      <c r="P42" s="98">
        <v>300</v>
      </c>
      <c r="Q42" s="90">
        <v>1000</v>
      </c>
      <c r="R42" s="80"/>
      <c r="S42" s="82">
        <v>300</v>
      </c>
      <c r="T42" s="98">
        <v>400</v>
      </c>
      <c r="U42" s="188">
        <v>700</v>
      </c>
      <c r="W42" s="90">
        <v>700</v>
      </c>
    </row>
    <row r="43" spans="1:23" x14ac:dyDescent="0.25">
      <c r="A43" s="34"/>
      <c r="B43" s="34"/>
      <c r="C43" s="34"/>
      <c r="D43" s="34"/>
      <c r="E43" s="34" t="s">
        <v>23</v>
      </c>
      <c r="F43" s="35"/>
      <c r="G43" s="35">
        <v>4476.57</v>
      </c>
      <c r="H43" s="35">
        <v>2099.2199999999998</v>
      </c>
      <c r="I43" s="35">
        <f>'projected actual 2021'!H27</f>
        <v>4000</v>
      </c>
      <c r="J43" s="103"/>
      <c r="K43" s="49">
        <v>6000</v>
      </c>
      <c r="M43" s="82">
        <v>4000</v>
      </c>
      <c r="N43" s="103"/>
      <c r="O43" s="82">
        <v>2800</v>
      </c>
      <c r="P43" s="98">
        <v>1200</v>
      </c>
      <c r="Q43" s="90">
        <v>4000</v>
      </c>
      <c r="R43" s="80"/>
      <c r="S43" s="82">
        <v>1200</v>
      </c>
      <c r="T43" s="98">
        <v>2800</v>
      </c>
      <c r="U43" s="188">
        <v>4000</v>
      </c>
      <c r="W43" s="90">
        <v>2000</v>
      </c>
    </row>
    <row r="44" spans="1:23" x14ac:dyDescent="0.25">
      <c r="A44" s="34"/>
      <c r="B44" s="34"/>
      <c r="C44" s="34"/>
      <c r="D44" s="34"/>
      <c r="E44" s="34" t="s">
        <v>24</v>
      </c>
      <c r="F44" s="35"/>
      <c r="G44" s="35">
        <v>1479.07</v>
      </c>
      <c r="H44" s="35">
        <v>195.32</v>
      </c>
      <c r="I44" s="35">
        <f>'projected actual 2021'!H28</f>
        <v>250</v>
      </c>
      <c r="J44" s="103"/>
      <c r="K44" s="49">
        <v>7000</v>
      </c>
      <c r="M44" s="82">
        <v>2500</v>
      </c>
      <c r="N44" s="103"/>
      <c r="O44" s="82">
        <v>1500</v>
      </c>
      <c r="P44" s="98">
        <v>100</v>
      </c>
      <c r="Q44" s="90">
        <v>1600</v>
      </c>
      <c r="R44" s="80"/>
      <c r="S44" s="82">
        <v>100</v>
      </c>
      <c r="T44" s="98">
        <v>900</v>
      </c>
      <c r="U44" s="188">
        <v>1000</v>
      </c>
      <c r="W44" s="90">
        <v>2500</v>
      </c>
    </row>
    <row r="45" spans="1:23" x14ac:dyDescent="0.25">
      <c r="A45" s="34"/>
      <c r="B45" s="34"/>
      <c r="C45" s="34"/>
      <c r="D45" s="34"/>
      <c r="E45" s="34" t="s">
        <v>25</v>
      </c>
      <c r="F45" s="35"/>
      <c r="G45" s="35">
        <v>38.119999999999997</v>
      </c>
      <c r="H45" s="35">
        <v>759.48</v>
      </c>
      <c r="I45" s="35">
        <f>'projected actual 2021'!H29</f>
        <v>100</v>
      </c>
      <c r="J45" s="103"/>
      <c r="K45" s="49">
        <v>1500</v>
      </c>
      <c r="M45" s="82">
        <v>800</v>
      </c>
      <c r="N45" s="103"/>
      <c r="O45" s="82">
        <v>600</v>
      </c>
      <c r="P45" s="98">
        <v>0</v>
      </c>
      <c r="Q45" s="90">
        <v>600</v>
      </c>
      <c r="R45" s="80"/>
      <c r="S45" s="82">
        <v>0</v>
      </c>
      <c r="T45" s="98">
        <v>250</v>
      </c>
      <c r="U45" s="188">
        <v>250</v>
      </c>
      <c r="W45" s="90">
        <v>250</v>
      </c>
    </row>
    <row r="46" spans="1:23" x14ac:dyDescent="0.25">
      <c r="A46" s="34"/>
      <c r="B46" s="34"/>
      <c r="C46" s="34"/>
      <c r="D46" s="34"/>
      <c r="E46" s="34" t="s">
        <v>26</v>
      </c>
      <c r="F46" s="35"/>
      <c r="G46" s="35">
        <v>58793.31</v>
      </c>
      <c r="H46" s="35">
        <v>28428.02</v>
      </c>
      <c r="I46" s="35">
        <f>'projected actual 2021'!H30</f>
        <v>55000</v>
      </c>
      <c r="J46" s="103"/>
      <c r="K46" s="49">
        <v>68500</v>
      </c>
      <c r="M46" s="82">
        <v>65000</v>
      </c>
      <c r="N46" s="103"/>
      <c r="O46" s="82">
        <v>39500</v>
      </c>
      <c r="P46" s="98">
        <v>25500</v>
      </c>
      <c r="Q46" s="90">
        <v>65000</v>
      </c>
      <c r="R46" s="80"/>
      <c r="S46" s="82">
        <v>25500</v>
      </c>
      <c r="T46" s="98">
        <v>36500</v>
      </c>
      <c r="U46" s="188">
        <v>62000</v>
      </c>
      <c r="W46" s="90">
        <v>58000</v>
      </c>
    </row>
    <row r="47" spans="1:23" x14ac:dyDescent="0.25">
      <c r="A47" s="34"/>
      <c r="B47" s="34"/>
      <c r="C47" s="34"/>
      <c r="D47" s="34"/>
      <c r="E47" s="34" t="s">
        <v>27</v>
      </c>
      <c r="F47" s="35"/>
      <c r="G47" s="35">
        <v>5014.76</v>
      </c>
      <c r="H47" s="35">
        <v>3017.45</v>
      </c>
      <c r="I47" s="35">
        <f>'projected actual 2021'!H31</f>
        <v>1600</v>
      </c>
      <c r="J47" s="103"/>
      <c r="K47" s="49">
        <v>7200</v>
      </c>
      <c r="M47" s="82">
        <v>7000</v>
      </c>
      <c r="N47" s="103"/>
      <c r="O47" s="82">
        <v>4500</v>
      </c>
      <c r="P47" s="98">
        <v>2500</v>
      </c>
      <c r="Q47" s="90">
        <v>7000</v>
      </c>
      <c r="R47" s="80"/>
      <c r="S47" s="82">
        <v>2500</v>
      </c>
      <c r="T47" s="98">
        <v>3500</v>
      </c>
      <c r="U47" s="188">
        <v>6000</v>
      </c>
      <c r="W47" s="90">
        <v>3000</v>
      </c>
    </row>
    <row r="48" spans="1:23" x14ac:dyDescent="0.25">
      <c r="A48" s="34"/>
      <c r="B48" s="34"/>
      <c r="C48" s="34"/>
      <c r="D48" s="34"/>
      <c r="E48" s="34" t="s">
        <v>28</v>
      </c>
      <c r="F48" s="35"/>
      <c r="G48" s="35">
        <v>9022.7000000000007</v>
      </c>
      <c r="H48" s="35">
        <v>2473.3200000000002</v>
      </c>
      <c r="I48" s="35">
        <f>'projected actual 2021'!H32</f>
        <v>1000</v>
      </c>
      <c r="J48" s="103"/>
      <c r="K48" s="49">
        <v>20000</v>
      </c>
      <c r="M48" s="82">
        <v>15000</v>
      </c>
      <c r="N48" s="103"/>
      <c r="O48" s="82">
        <v>5000</v>
      </c>
      <c r="P48" s="98">
        <v>5000</v>
      </c>
      <c r="Q48" s="90">
        <v>10000</v>
      </c>
      <c r="R48" s="80"/>
      <c r="S48" s="82">
        <v>5000</v>
      </c>
      <c r="T48" s="98">
        <v>5000</v>
      </c>
      <c r="U48" s="188">
        <v>10000</v>
      </c>
      <c r="W48" s="90">
        <v>1000</v>
      </c>
    </row>
    <row r="49" spans="1:28" x14ac:dyDescent="0.25">
      <c r="A49" s="34"/>
      <c r="B49" s="34"/>
      <c r="C49" s="34"/>
      <c r="D49" s="34"/>
      <c r="E49" s="75" t="s">
        <v>72</v>
      </c>
      <c r="F49" s="35"/>
      <c r="G49" s="35">
        <f>253406.02+13801.22+7881+1177.68+13980.98</f>
        <v>290246.89999999997</v>
      </c>
      <c r="H49" s="35">
        <f>168187.26+7707.09+12004.52+5661+554.51</f>
        <v>194114.38</v>
      </c>
      <c r="I49" s="35">
        <f>'projected actual 2021'!H34+'projected actual 2021'!H35+'projected actual 2021'!H36+'projected actual 2021'!H37</f>
        <v>319550</v>
      </c>
      <c r="J49" s="103"/>
      <c r="K49" s="49">
        <f>205000+55000+15600+15600+14600+1400</f>
        <v>307200</v>
      </c>
      <c r="M49" s="82">
        <f>270000+16200+10000+800</f>
        <v>297000</v>
      </c>
      <c r="N49" s="103"/>
      <c r="O49" s="82">
        <v>202570</v>
      </c>
      <c r="P49" s="98">
        <f>94430-5000</f>
        <v>89430</v>
      </c>
      <c r="Q49" s="90">
        <v>292000</v>
      </c>
      <c r="R49" s="80"/>
      <c r="S49" s="82">
        <v>89430</v>
      </c>
      <c r="T49" s="98">
        <v>202570</v>
      </c>
      <c r="U49" s="188">
        <v>292000</v>
      </c>
      <c r="W49" s="90">
        <v>295000</v>
      </c>
    </row>
    <row r="50" spans="1:28" hidden="1" outlineLevel="1" x14ac:dyDescent="0.25">
      <c r="A50" s="34"/>
      <c r="B50" s="34"/>
      <c r="C50" s="34"/>
      <c r="D50" s="34"/>
      <c r="E50" s="34" t="s">
        <v>30</v>
      </c>
      <c r="F50" s="35"/>
      <c r="G50" s="35">
        <f>7090.22-7090.22</f>
        <v>0</v>
      </c>
      <c r="H50" s="35"/>
      <c r="I50" s="35"/>
      <c r="J50" s="103"/>
      <c r="K50" s="49">
        <f>260000*0.06-15600</f>
        <v>0</v>
      </c>
      <c r="M50" s="82">
        <v>0</v>
      </c>
      <c r="N50" s="103"/>
      <c r="O50" s="82"/>
      <c r="P50" s="98"/>
      <c r="Q50" s="90">
        <v>0</v>
      </c>
      <c r="R50" s="80"/>
      <c r="S50" s="82">
        <v>0</v>
      </c>
      <c r="T50" s="98">
        <v>0</v>
      </c>
      <c r="U50" s="188"/>
      <c r="W50" s="90"/>
      <c r="Y50" s="40" t="s">
        <v>34</v>
      </c>
      <c r="Z50" s="25">
        <v>648.63</v>
      </c>
      <c r="AA50" s="25">
        <v>1111.9371428571428</v>
      </c>
      <c r="AB50" s="23">
        <v>892</v>
      </c>
    </row>
    <row r="51" spans="1:28" hidden="1" outlineLevel="1" x14ac:dyDescent="0.25">
      <c r="A51" s="34"/>
      <c r="B51" s="34"/>
      <c r="C51" s="34"/>
      <c r="D51" s="34"/>
      <c r="E51" s="34" t="s">
        <v>31</v>
      </c>
      <c r="F51" s="35"/>
      <c r="G51" s="35">
        <f>12686.87-12686.87</f>
        <v>0</v>
      </c>
      <c r="H51" s="35"/>
      <c r="I51" s="35"/>
      <c r="J51" s="103"/>
      <c r="K51" s="49">
        <f>260000*0.06-15600</f>
        <v>0</v>
      </c>
      <c r="M51" s="82">
        <f>270000*0.06-16200</f>
        <v>0</v>
      </c>
      <c r="N51" s="103"/>
      <c r="O51" s="82"/>
      <c r="P51" s="98"/>
      <c r="Q51" s="90">
        <v>0</v>
      </c>
      <c r="R51" s="80"/>
      <c r="S51" s="82">
        <v>0</v>
      </c>
      <c r="T51" s="98">
        <v>0</v>
      </c>
      <c r="U51" s="188"/>
      <c r="W51" s="90"/>
    </row>
    <row r="52" spans="1:28" hidden="1" outlineLevel="1" x14ac:dyDescent="0.25">
      <c r="A52" s="34"/>
      <c r="B52" s="34"/>
      <c r="C52" s="34"/>
      <c r="D52" s="34"/>
      <c r="E52" s="34" t="s">
        <v>32</v>
      </c>
      <c r="F52" s="35"/>
      <c r="G52" s="35">
        <f>7885-7885</f>
        <v>0</v>
      </c>
      <c r="H52" s="35"/>
      <c r="I52" s="35"/>
      <c r="J52" s="103"/>
      <c r="K52" s="49">
        <f>8000+6600-14600</f>
        <v>0</v>
      </c>
      <c r="M52" s="82">
        <f>10000-10000</f>
        <v>0</v>
      </c>
      <c r="N52" s="103"/>
      <c r="O52" s="82"/>
      <c r="P52" s="98"/>
      <c r="Q52" s="90">
        <v>0</v>
      </c>
      <c r="R52" s="80"/>
      <c r="S52" s="82">
        <v>0</v>
      </c>
      <c r="T52" s="98">
        <v>0</v>
      </c>
      <c r="U52" s="188"/>
      <c r="W52" s="90"/>
    </row>
    <row r="53" spans="1:28" ht="16.5" customHeight="1" collapsed="1" thickBot="1" x14ac:dyDescent="0.3">
      <c r="A53" s="34"/>
      <c r="B53" s="34"/>
      <c r="C53" s="34"/>
      <c r="D53" s="34"/>
      <c r="E53" s="34" t="s">
        <v>33</v>
      </c>
      <c r="F53" s="35"/>
      <c r="G53" s="35">
        <v>1221.8499999999999</v>
      </c>
      <c r="H53" s="38">
        <v>19</v>
      </c>
      <c r="I53" s="38">
        <f>'projected actual 2021'!H38</f>
        <v>892</v>
      </c>
      <c r="J53" s="103"/>
      <c r="K53" s="49">
        <v>2000</v>
      </c>
      <c r="M53" s="82">
        <v>2000</v>
      </c>
      <c r="N53" s="103"/>
      <c r="O53" s="82">
        <v>1400</v>
      </c>
      <c r="P53" s="98">
        <v>600</v>
      </c>
      <c r="Q53" s="90">
        <v>2000</v>
      </c>
      <c r="R53" s="80"/>
      <c r="S53" s="82">
        <v>600</v>
      </c>
      <c r="T53" s="98">
        <v>400</v>
      </c>
      <c r="U53" s="188">
        <v>1000</v>
      </c>
      <c r="W53" s="90">
        <v>1000</v>
      </c>
    </row>
    <row r="54" spans="1:28" ht="15.75" hidden="1" outlineLevel="1" thickBot="1" x14ac:dyDescent="0.3">
      <c r="A54" s="34"/>
      <c r="B54" s="34"/>
      <c r="C54" s="34"/>
      <c r="D54" s="34"/>
      <c r="E54" s="34" t="s">
        <v>34</v>
      </c>
      <c r="F54" s="35"/>
      <c r="G54" s="35">
        <f>1145.5-1145.5</f>
        <v>0</v>
      </c>
      <c r="H54" s="35"/>
      <c r="I54" s="35"/>
      <c r="J54" s="103"/>
      <c r="K54" s="49">
        <f>1400-1400</f>
        <v>0</v>
      </c>
      <c r="M54" s="82">
        <f>800-800</f>
        <v>0</v>
      </c>
      <c r="N54" s="103"/>
      <c r="O54" s="82"/>
      <c r="P54" s="98"/>
      <c r="Q54" s="90">
        <f>SUM(O54:P54)</f>
        <v>0</v>
      </c>
      <c r="R54" s="80"/>
      <c r="S54" s="82"/>
      <c r="T54" s="98"/>
      <c r="U54" s="188"/>
      <c r="W54" s="90"/>
    </row>
    <row r="55" spans="1:28" ht="15.75" collapsed="1" thickBot="1" x14ac:dyDescent="0.3">
      <c r="A55" s="34"/>
      <c r="B55" s="34"/>
      <c r="C55" s="34"/>
      <c r="D55" s="34" t="s">
        <v>75</v>
      </c>
      <c r="E55" s="34"/>
      <c r="F55" s="35"/>
      <c r="G55" s="39">
        <f>ROUND(SUM(G35:G54),5)</f>
        <v>435428.46</v>
      </c>
      <c r="H55" s="131">
        <f>SUM(H36:H54)</f>
        <v>256750.75</v>
      </c>
      <c r="I55" s="131">
        <f>SUM(I36:I54)</f>
        <v>429192</v>
      </c>
      <c r="J55" s="103"/>
      <c r="K55" s="51">
        <f>ROUND(SUM(K35:K54),5)</f>
        <v>499000</v>
      </c>
      <c r="M55" s="85">
        <f>ROUND(SUM(M35:M54),5)</f>
        <v>446900</v>
      </c>
      <c r="N55" s="103"/>
      <c r="O55" s="109">
        <f>SUM(O36:O54)</f>
        <v>283470</v>
      </c>
      <c r="P55" s="108">
        <f>SUM(P36:P54)</f>
        <v>148180</v>
      </c>
      <c r="Q55" s="113">
        <f>SUM(Q36:Q53)</f>
        <v>431650</v>
      </c>
      <c r="R55" s="80"/>
      <c r="S55" s="109">
        <v>148180</v>
      </c>
      <c r="T55" s="108">
        <v>278770</v>
      </c>
      <c r="U55" s="191">
        <f>SUM(U36:U53)</f>
        <v>426950</v>
      </c>
      <c r="W55" s="113">
        <f>SUM(W36:W53)</f>
        <v>396950</v>
      </c>
    </row>
    <row r="56" spans="1:28" ht="15.75" thickBot="1" x14ac:dyDescent="0.3">
      <c r="A56" s="34"/>
      <c r="B56" s="34" t="s">
        <v>71</v>
      </c>
      <c r="C56" s="34"/>
      <c r="D56" s="34"/>
      <c r="E56" s="34"/>
      <c r="F56" s="35"/>
      <c r="G56" s="42">
        <f>ROUND(G6+G34-G55,5)</f>
        <v>-136283.14000000001</v>
      </c>
      <c r="H56" s="42">
        <f>ROUND(H6+H34-H55,5)</f>
        <v>154596.95000000001</v>
      </c>
      <c r="I56" s="42">
        <f>ROUND(I6+I34-I55,5)</f>
        <v>-103667.9</v>
      </c>
      <c r="J56" s="103"/>
      <c r="K56" s="49">
        <f>ROUND(K6+K34-K55,5)</f>
        <v>-236315</v>
      </c>
      <c r="M56" s="86" t="e">
        <f>ROUND(M6+M34-M55,5)</f>
        <v>#REF!</v>
      </c>
      <c r="N56" s="103"/>
      <c r="O56" s="115">
        <f>O34-O55</f>
        <v>158250</v>
      </c>
      <c r="P56" s="116">
        <f>P34-P55</f>
        <v>-98300</v>
      </c>
      <c r="Q56" s="114">
        <f>Q34-Q55</f>
        <v>59950</v>
      </c>
      <c r="R56" s="80"/>
      <c r="S56" s="115">
        <v>-98300</v>
      </c>
      <c r="T56" s="116">
        <v>107935</v>
      </c>
      <c r="U56" s="192">
        <f>U34-U55</f>
        <v>9635</v>
      </c>
      <c r="V56" s="57"/>
      <c r="W56" s="185">
        <f>W34-W55</f>
        <v>-190450</v>
      </c>
    </row>
    <row r="57" spans="1:28" hidden="1" outlineLevel="1" x14ac:dyDescent="0.25">
      <c r="A57" s="34"/>
      <c r="B57" s="34" t="s">
        <v>54</v>
      </c>
      <c r="C57" s="34"/>
      <c r="D57" s="34"/>
      <c r="E57" s="34"/>
      <c r="F57" s="35"/>
      <c r="G57" s="35"/>
      <c r="H57" s="35"/>
      <c r="I57" s="35"/>
      <c r="J57" s="103"/>
      <c r="K57" s="49"/>
      <c r="M57" s="67"/>
      <c r="N57" s="103"/>
      <c r="O57" s="67"/>
      <c r="P57" s="67"/>
      <c r="Q57" s="67"/>
      <c r="R57" s="34"/>
      <c r="S57" s="67"/>
      <c r="T57" s="67"/>
    </row>
    <row r="58" spans="1:28" ht="15.75" hidden="1" outlineLevel="1" thickBot="1" x14ac:dyDescent="0.3">
      <c r="A58" s="34"/>
      <c r="B58" s="34" t="s">
        <v>55</v>
      </c>
      <c r="C58" s="40"/>
      <c r="D58" s="40"/>
      <c r="E58" s="40"/>
      <c r="F58" s="35"/>
      <c r="G58" s="35"/>
      <c r="H58" s="35"/>
      <c r="I58" s="35"/>
      <c r="J58" s="103"/>
      <c r="K58" s="49"/>
      <c r="M58" s="67"/>
      <c r="N58" s="103"/>
      <c r="O58" s="67"/>
      <c r="P58" s="67"/>
      <c r="Q58" s="67"/>
      <c r="R58" s="34"/>
      <c r="S58" s="67"/>
      <c r="T58" s="67"/>
    </row>
    <row r="59" spans="1:28" ht="15.75" hidden="1" outlineLevel="1" thickBot="1" x14ac:dyDescent="0.3">
      <c r="A59" s="34" t="s">
        <v>35</v>
      </c>
      <c r="B59" s="34"/>
      <c r="C59" s="34"/>
      <c r="D59" s="34"/>
      <c r="E59" s="40"/>
      <c r="F59" s="42"/>
      <c r="G59" s="41">
        <f>ROUND(G56+G58,5)</f>
        <v>-136283.14000000001</v>
      </c>
      <c r="H59" s="41">
        <f>ROUND(H56+H58,5)</f>
        <v>154596.95000000001</v>
      </c>
      <c r="I59" s="41">
        <f>ROUND(I56+I58,5)</f>
        <v>-103667.9</v>
      </c>
      <c r="J59" s="95"/>
      <c r="K59" s="56">
        <f>ROUND(K56+K58,5)</f>
        <v>-236315</v>
      </c>
      <c r="M59" s="68" t="e">
        <f>ROUND(M56+M58,5)</f>
        <v>#REF!</v>
      </c>
      <c r="N59" s="95"/>
      <c r="O59" s="78"/>
      <c r="P59" s="78"/>
      <c r="Q59" s="78"/>
      <c r="R59" s="34"/>
      <c r="S59" s="78"/>
      <c r="T59" s="78"/>
      <c r="U59" s="95"/>
      <c r="W59" s="95"/>
    </row>
    <row r="60" spans="1:28" ht="6.75" hidden="1" customHeight="1" outlineLevel="1" thickTop="1" x14ac:dyDescent="0.25">
      <c r="A60" s="34"/>
      <c r="B60" s="34"/>
      <c r="C60" s="34"/>
      <c r="D60" s="34"/>
      <c r="E60" s="40"/>
      <c r="F60" s="42"/>
      <c r="G60" s="42"/>
      <c r="H60" s="42"/>
      <c r="I60" s="42"/>
      <c r="J60" s="95"/>
      <c r="K60" s="57"/>
      <c r="M60" s="69"/>
      <c r="N60" s="95"/>
      <c r="O60" s="69"/>
      <c r="P60" s="69"/>
      <c r="Q60" s="69"/>
      <c r="R60" s="34"/>
      <c r="S60" s="69"/>
      <c r="T60" s="69"/>
      <c r="U60" s="57"/>
      <c r="W60" s="69"/>
    </row>
    <row r="61" spans="1:28" collapsed="1" x14ac:dyDescent="0.25">
      <c r="A61" s="34" t="s">
        <v>50</v>
      </c>
      <c r="B61" s="11"/>
      <c r="C61" s="11"/>
      <c r="D61" s="11"/>
      <c r="E61" s="11"/>
      <c r="F61" s="17"/>
      <c r="G61" s="17"/>
      <c r="H61" s="17"/>
      <c r="I61" s="17"/>
      <c r="J61" s="105"/>
      <c r="K61" s="58"/>
      <c r="M61" s="105"/>
      <c r="N61" s="105"/>
      <c r="O61" s="105"/>
      <c r="P61" s="105"/>
      <c r="Q61" s="105"/>
      <c r="R61" s="34"/>
      <c r="S61" s="105"/>
      <c r="T61" s="105"/>
      <c r="U61" s="105"/>
      <c r="W61" s="105"/>
    </row>
    <row r="62" spans="1:28" ht="15.75" thickBot="1" x14ac:dyDescent="0.3">
      <c r="A62" s="2"/>
      <c r="B62" s="2"/>
      <c r="C62" s="2"/>
      <c r="D62" s="2"/>
      <c r="E62" s="34" t="s">
        <v>29</v>
      </c>
      <c r="F62" s="18"/>
      <c r="G62" s="18">
        <v>5251.04</v>
      </c>
      <c r="H62" s="18">
        <v>4000.88</v>
      </c>
      <c r="I62" s="18">
        <v>5077.8</v>
      </c>
      <c r="J62" s="106"/>
      <c r="K62" s="45"/>
      <c r="M62" s="45"/>
      <c r="N62" s="106"/>
      <c r="O62" s="45"/>
      <c r="P62" s="45"/>
      <c r="Q62" s="45"/>
      <c r="R62" s="34"/>
      <c r="S62" s="45"/>
      <c r="T62" s="45"/>
      <c r="U62" s="45"/>
      <c r="W62" s="45"/>
    </row>
    <row r="63" spans="1:28" ht="15.75" thickBot="1" x14ac:dyDescent="0.3">
      <c r="A63" s="34" t="s">
        <v>51</v>
      </c>
      <c r="B63" s="11"/>
      <c r="C63" s="11"/>
      <c r="D63" s="11"/>
      <c r="E63" s="11"/>
      <c r="F63" s="19"/>
      <c r="G63" s="19">
        <f>G59-G62</f>
        <v>-141534.18000000002</v>
      </c>
      <c r="H63" s="19">
        <f>H59-H62</f>
        <v>150596.07</v>
      </c>
      <c r="I63" s="19">
        <f>I59-I62</f>
        <v>-108745.7</v>
      </c>
      <c r="J63" s="96"/>
      <c r="K63" s="59">
        <f>K59-K62</f>
        <v>-236315</v>
      </c>
      <c r="M63" s="59" t="e">
        <f>M59-M62</f>
        <v>#REF!</v>
      </c>
      <c r="N63" s="96"/>
      <c r="O63" s="96"/>
      <c r="P63" s="96"/>
      <c r="Q63" s="59">
        <f>Q56</f>
        <v>59950</v>
      </c>
      <c r="R63" s="34"/>
      <c r="S63" s="96"/>
      <c r="T63" s="96"/>
      <c r="U63" s="59">
        <f>U56</f>
        <v>9635</v>
      </c>
      <c r="W63" s="59">
        <f>W56</f>
        <v>-190450</v>
      </c>
    </row>
    <row r="64" spans="1:28" ht="15.75" thickTop="1" x14ac:dyDescent="0.25">
      <c r="A64" s="11"/>
      <c r="B64" s="11"/>
      <c r="C64" s="11"/>
      <c r="D64" s="11"/>
      <c r="E64" s="11"/>
      <c r="F64" s="20"/>
      <c r="G64" s="20">
        <f>G63+141534.18</f>
        <v>0</v>
      </c>
      <c r="H64" s="20"/>
      <c r="I64" s="20"/>
      <c r="J64" s="96"/>
      <c r="K64" s="60"/>
      <c r="M64" s="20"/>
      <c r="N64" s="96"/>
      <c r="O64" s="20"/>
      <c r="P64" s="20"/>
      <c r="Q64" s="20"/>
      <c r="R64" s="34"/>
      <c r="S64" s="20"/>
      <c r="T64" s="20"/>
      <c r="U64" s="60"/>
      <c r="W64" s="20"/>
    </row>
    <row r="65" spans="1:28" x14ac:dyDescent="0.25">
      <c r="Q65" s="23"/>
      <c r="S65" s="23"/>
      <c r="T65" s="23"/>
      <c r="U65" s="52"/>
      <c r="W65" s="23"/>
    </row>
    <row r="66" spans="1:28" x14ac:dyDescent="0.25">
      <c r="A66" s="70"/>
      <c r="B66" s="71"/>
      <c r="C66" s="72"/>
      <c r="D66" s="72"/>
      <c r="E66" s="72"/>
      <c r="F66" s="52"/>
      <c r="G66" s="52"/>
      <c r="H66" s="52"/>
      <c r="I66" s="52"/>
      <c r="L66" s="122"/>
      <c r="M66" s="52"/>
      <c r="O66" s="52"/>
      <c r="P66" s="52"/>
      <c r="R66" s="73"/>
      <c r="S66" s="52"/>
      <c r="T66" s="52"/>
      <c r="U66" s="52"/>
      <c r="W66" s="52"/>
    </row>
    <row r="67" spans="1:28" x14ac:dyDescent="0.25">
      <c r="A67" s="70"/>
      <c r="B67" s="71"/>
      <c r="C67" s="72"/>
      <c r="D67" s="72"/>
      <c r="E67" s="72"/>
      <c r="F67" s="52"/>
      <c r="G67" s="52"/>
      <c r="H67" s="52"/>
      <c r="I67" s="52"/>
      <c r="L67" s="122"/>
      <c r="M67" s="52"/>
      <c r="O67" s="52"/>
      <c r="P67" s="52"/>
      <c r="R67" s="73"/>
      <c r="S67" s="52"/>
      <c r="T67" s="52"/>
      <c r="U67" s="52"/>
      <c r="W67" s="52"/>
    </row>
    <row r="68" spans="1:28" x14ac:dyDescent="0.25">
      <c r="A68" s="70"/>
      <c r="B68" s="71"/>
      <c r="C68" s="72"/>
      <c r="D68" s="72"/>
      <c r="E68" s="72"/>
      <c r="F68" s="52"/>
      <c r="G68" s="52"/>
      <c r="H68" s="52"/>
      <c r="I68" s="52"/>
      <c r="L68" s="122"/>
      <c r="M68" s="52"/>
      <c r="O68" s="52"/>
      <c r="P68" s="52"/>
      <c r="R68" s="73"/>
      <c r="S68" s="52"/>
      <c r="T68" s="52"/>
      <c r="U68" s="52"/>
      <c r="W68" s="52"/>
    </row>
    <row r="69" spans="1:28" s="73" customFormat="1" x14ac:dyDescent="0.25">
      <c r="A69" s="70"/>
      <c r="B69" s="71"/>
      <c r="C69" s="72"/>
      <c r="D69" s="72"/>
      <c r="E69" s="72"/>
      <c r="F69" s="52"/>
      <c r="G69" s="52"/>
      <c r="H69" s="52"/>
      <c r="I69" s="52"/>
      <c r="J69" s="100"/>
      <c r="K69" s="52"/>
      <c r="M69" s="52"/>
      <c r="N69" s="100"/>
      <c r="O69" s="52"/>
      <c r="P69" s="52"/>
      <c r="Q69" s="52"/>
      <c r="S69" s="52"/>
      <c r="T69" s="52"/>
      <c r="U69" s="52"/>
      <c r="V69" s="49"/>
      <c r="W69" s="52"/>
      <c r="X69" s="70"/>
      <c r="Y69" s="70"/>
      <c r="AB69" s="52"/>
    </row>
    <row r="70" spans="1:28" s="73" customFormat="1" x14ac:dyDescent="0.25">
      <c r="A70" s="70"/>
      <c r="B70" s="71"/>
      <c r="C70" s="71"/>
      <c r="D70" s="72"/>
      <c r="E70" s="72"/>
      <c r="F70" s="52"/>
      <c r="G70" s="52"/>
      <c r="H70" s="52"/>
      <c r="I70" s="52"/>
      <c r="J70" s="100"/>
      <c r="K70" s="52"/>
      <c r="M70" s="52"/>
      <c r="N70" s="100"/>
      <c r="O70" s="52"/>
      <c r="P70" s="52"/>
      <c r="Q70" s="52"/>
      <c r="S70" s="52"/>
      <c r="T70" s="52"/>
      <c r="U70" s="52"/>
      <c r="V70" s="49"/>
      <c r="W70" s="52"/>
      <c r="X70" s="70"/>
      <c r="Y70" s="70"/>
      <c r="AB70" s="52"/>
    </row>
    <row r="71" spans="1:28" x14ac:dyDescent="0.25">
      <c r="A71" s="70"/>
      <c r="B71" s="71"/>
      <c r="C71" s="71"/>
      <c r="D71" s="72"/>
      <c r="E71" s="72"/>
      <c r="F71" s="52"/>
      <c r="G71" s="52"/>
      <c r="H71" s="52"/>
      <c r="I71" s="52"/>
      <c r="L71" s="122"/>
      <c r="M71" s="52"/>
      <c r="O71" s="52"/>
      <c r="P71" s="52"/>
      <c r="R71" s="73"/>
      <c r="S71" s="52"/>
      <c r="T71" s="52"/>
      <c r="U71" s="52"/>
      <c r="W71" s="52"/>
    </row>
    <row r="72" spans="1:28" x14ac:dyDescent="0.25">
      <c r="A72" s="73"/>
      <c r="B72" s="71"/>
      <c r="C72" s="71"/>
      <c r="D72" s="72"/>
      <c r="E72" s="72"/>
      <c r="F72" s="52"/>
      <c r="G72" s="52"/>
      <c r="H72" s="52"/>
      <c r="I72" s="52"/>
      <c r="L72" s="122"/>
      <c r="M72" s="52"/>
      <c r="O72" s="52"/>
      <c r="P72" s="52"/>
      <c r="R72" s="73"/>
      <c r="S72" s="52"/>
      <c r="T72" s="52"/>
      <c r="U72" s="52"/>
      <c r="W72" s="52"/>
    </row>
    <row r="73" spans="1:28" s="73" customFormat="1" x14ac:dyDescent="0.25">
      <c r="A73" s="70"/>
      <c r="B73" s="71"/>
      <c r="C73" s="71"/>
      <c r="D73" s="72"/>
      <c r="E73" s="72"/>
      <c r="F73" s="52"/>
      <c r="G73" s="52"/>
      <c r="H73" s="52"/>
      <c r="I73" s="52"/>
      <c r="J73" s="100"/>
      <c r="K73" s="52"/>
      <c r="M73" s="52"/>
      <c r="N73" s="100"/>
      <c r="O73" s="52"/>
      <c r="P73" s="52"/>
      <c r="Q73" s="52"/>
      <c r="S73" s="52"/>
      <c r="T73" s="52"/>
      <c r="U73" s="52"/>
      <c r="V73" s="49"/>
      <c r="W73" s="52"/>
      <c r="X73" s="70"/>
      <c r="Y73" s="70"/>
      <c r="AB73" s="52"/>
    </row>
    <row r="74" spans="1:28" x14ac:dyDescent="0.25">
      <c r="A74" s="70"/>
      <c r="B74" s="71"/>
      <c r="C74" s="72"/>
      <c r="D74" s="72"/>
      <c r="E74" s="72"/>
      <c r="F74" s="52"/>
      <c r="G74" s="52"/>
      <c r="H74" s="52"/>
      <c r="I74" s="52"/>
      <c r="L74" s="122"/>
      <c r="M74" s="52"/>
      <c r="O74" s="52"/>
      <c r="P74" s="52"/>
      <c r="R74" s="73"/>
      <c r="S74" s="52"/>
      <c r="T74" s="52"/>
      <c r="U74" s="52"/>
      <c r="W74" s="52"/>
    </row>
    <row r="75" spans="1:28" x14ac:dyDescent="0.25">
      <c r="A75" s="70"/>
      <c r="B75" s="71"/>
      <c r="C75" s="70"/>
      <c r="D75" s="70"/>
      <c r="E75" s="70"/>
      <c r="F75" s="52"/>
      <c r="G75" s="52"/>
      <c r="H75" s="52"/>
      <c r="I75" s="52"/>
      <c r="L75" s="122"/>
      <c r="M75" s="52"/>
      <c r="O75" s="52"/>
      <c r="P75" s="52"/>
      <c r="R75" s="73"/>
      <c r="S75" s="52"/>
      <c r="T75" s="52"/>
      <c r="U75" s="52"/>
      <c r="W75" s="52"/>
    </row>
    <row r="76" spans="1:28" s="73" customFormat="1" ht="16.5" customHeight="1" x14ac:dyDescent="0.25">
      <c r="A76" s="70"/>
      <c r="B76" s="71"/>
      <c r="C76" s="70"/>
      <c r="D76" s="70"/>
      <c r="E76" s="70"/>
      <c r="F76" s="52"/>
      <c r="G76" s="52"/>
      <c r="H76" s="52"/>
      <c r="I76" s="52"/>
      <c r="J76" s="100"/>
      <c r="K76" s="52"/>
      <c r="M76" s="52"/>
      <c r="N76" s="100"/>
      <c r="O76" s="52"/>
      <c r="P76" s="52"/>
      <c r="Q76" s="52"/>
      <c r="S76" s="52"/>
      <c r="T76" s="52"/>
      <c r="U76" s="52"/>
      <c r="V76" s="49"/>
      <c r="W76" s="52"/>
      <c r="X76" s="70"/>
      <c r="Y76" s="70"/>
      <c r="AB76" s="52"/>
    </row>
    <row r="77" spans="1:28" s="73" customFormat="1" ht="16.5" customHeight="1" x14ac:dyDescent="0.25">
      <c r="B77" s="71"/>
      <c r="C77" s="70"/>
      <c r="D77" s="70"/>
      <c r="E77" s="70"/>
      <c r="F77" s="52"/>
      <c r="G77" s="52"/>
      <c r="H77" s="52"/>
      <c r="I77" s="52"/>
      <c r="J77" s="100"/>
      <c r="K77" s="52"/>
      <c r="M77" s="52"/>
      <c r="N77" s="100"/>
      <c r="O77" s="52"/>
      <c r="P77" s="52"/>
      <c r="Q77" s="52"/>
      <c r="S77" s="52"/>
      <c r="T77" s="52"/>
      <c r="U77" s="52"/>
      <c r="V77" s="49"/>
      <c r="W77" s="52"/>
      <c r="X77" s="70"/>
      <c r="Y77" s="70"/>
      <c r="AB77" s="52"/>
    </row>
    <row r="78" spans="1:28" s="73" customFormat="1" ht="16.5" customHeight="1" x14ac:dyDescent="0.25">
      <c r="A78" s="70"/>
      <c r="B78" s="71"/>
      <c r="C78" s="70"/>
      <c r="D78" s="70"/>
      <c r="E78" s="70"/>
      <c r="F78" s="52"/>
      <c r="G78" s="52"/>
      <c r="H78" s="52"/>
      <c r="I78" s="52"/>
      <c r="J78" s="100"/>
      <c r="K78" s="52"/>
      <c r="M78" s="52"/>
      <c r="N78" s="100"/>
      <c r="O78" s="52"/>
      <c r="P78" s="52"/>
      <c r="Q78" s="52"/>
      <c r="S78" s="52"/>
      <c r="T78" s="52"/>
      <c r="U78" s="52"/>
      <c r="V78" s="49"/>
      <c r="W78" s="52"/>
      <c r="X78" s="70"/>
      <c r="Y78" s="70"/>
      <c r="AB78" s="52"/>
    </row>
    <row r="79" spans="1:28" x14ac:dyDescent="0.25">
      <c r="A79" s="70"/>
      <c r="B79" s="70"/>
      <c r="C79" s="70"/>
      <c r="D79" s="70"/>
      <c r="E79" s="70"/>
      <c r="F79" s="52"/>
      <c r="G79" s="52"/>
      <c r="H79" s="52"/>
      <c r="I79" s="52"/>
      <c r="L79" s="122"/>
      <c r="M79" s="52"/>
      <c r="O79" s="52"/>
      <c r="P79" s="52"/>
      <c r="R79" s="73"/>
      <c r="S79" s="52"/>
      <c r="T79" s="52"/>
      <c r="U79" s="52"/>
      <c r="W79" s="52"/>
    </row>
    <row r="80" spans="1:28" ht="6" customHeight="1" x14ac:dyDescent="0.25">
      <c r="A80" s="70"/>
      <c r="B80" s="70"/>
      <c r="C80" s="73"/>
      <c r="D80" s="70"/>
      <c r="E80" s="70"/>
      <c r="F80" s="52"/>
      <c r="G80" s="70"/>
      <c r="H80" s="70"/>
      <c r="I80" s="52"/>
      <c r="K80" s="70"/>
      <c r="L80" s="122"/>
      <c r="M80" s="97"/>
      <c r="N80" s="107"/>
      <c r="O80" s="97"/>
      <c r="P80" s="97"/>
      <c r="Q80" s="97"/>
      <c r="R80" s="73"/>
      <c r="S80" s="97"/>
      <c r="T80" s="97"/>
      <c r="U80" s="97"/>
      <c r="W80" s="97"/>
    </row>
    <row r="81" spans="1:23" x14ac:dyDescent="0.25">
      <c r="A81" s="70"/>
      <c r="B81" s="70"/>
      <c r="C81" s="70"/>
      <c r="D81" s="71"/>
      <c r="E81" s="70"/>
      <c r="F81" s="52"/>
      <c r="G81" s="49"/>
      <c r="H81" s="49"/>
      <c r="I81" s="52"/>
      <c r="K81" s="73"/>
      <c r="L81" s="122"/>
      <c r="M81" s="52"/>
      <c r="O81" s="52"/>
      <c r="P81" s="52"/>
      <c r="R81" s="73"/>
      <c r="S81" s="52"/>
      <c r="T81" s="52"/>
      <c r="U81" s="52"/>
      <c r="W81" s="52"/>
    </row>
    <row r="82" spans="1:23" x14ac:dyDescent="0.25">
      <c r="A82" s="70"/>
      <c r="B82" s="70"/>
      <c r="C82" s="70"/>
      <c r="D82" s="71"/>
      <c r="E82" s="70"/>
      <c r="F82" s="52"/>
      <c r="G82" s="49"/>
      <c r="H82" s="49"/>
      <c r="I82" s="52"/>
      <c r="K82" s="73"/>
      <c r="L82" s="122"/>
      <c r="M82" s="52"/>
      <c r="O82" s="52"/>
      <c r="P82" s="52"/>
      <c r="R82" s="73"/>
      <c r="S82" s="52"/>
      <c r="T82" s="52"/>
      <c r="U82" s="52"/>
      <c r="W82" s="52"/>
    </row>
    <row r="83" spans="1:23" x14ac:dyDescent="0.25">
      <c r="A83" s="70"/>
      <c r="B83" s="70"/>
      <c r="C83" s="70"/>
      <c r="D83" s="71"/>
      <c r="E83" s="70"/>
      <c r="F83" s="52"/>
      <c r="G83" s="49"/>
      <c r="H83" s="49"/>
      <c r="I83" s="52"/>
      <c r="K83" s="73"/>
      <c r="L83" s="122"/>
      <c r="M83" s="52"/>
      <c r="O83" s="52"/>
      <c r="P83" s="52"/>
      <c r="R83" s="73"/>
      <c r="S83" s="52"/>
      <c r="T83" s="52"/>
      <c r="U83" s="52"/>
      <c r="W83" s="52"/>
    </row>
    <row r="84" spans="1:23" x14ac:dyDescent="0.25">
      <c r="A84" s="70"/>
      <c r="B84" s="70"/>
      <c r="C84" s="70"/>
      <c r="D84" s="71"/>
      <c r="E84" s="70"/>
      <c r="F84" s="52"/>
      <c r="G84" s="49"/>
      <c r="H84" s="49"/>
      <c r="I84" s="52"/>
      <c r="K84" s="73"/>
      <c r="L84" s="122"/>
      <c r="M84" s="52"/>
      <c r="O84" s="52"/>
      <c r="P84" s="52"/>
      <c r="R84" s="73"/>
      <c r="S84" s="52"/>
      <c r="T84" s="52"/>
      <c r="U84" s="52"/>
      <c r="W84" s="52"/>
    </row>
    <row r="85" spans="1:23" x14ac:dyDescent="0.25">
      <c r="A85" s="40"/>
      <c r="B85" s="40"/>
      <c r="C85" s="40"/>
      <c r="D85" s="40"/>
      <c r="E85" s="40"/>
      <c r="G85" s="35"/>
      <c r="H85" s="35"/>
      <c r="K85" s="35"/>
      <c r="S85" s="23"/>
      <c r="T85" s="23"/>
      <c r="U85" s="23"/>
      <c r="W85" s="23"/>
    </row>
    <row r="86" spans="1:23" x14ac:dyDescent="0.25">
      <c r="A86" s="40"/>
      <c r="B86" s="40"/>
      <c r="C86" s="40"/>
      <c r="D86" s="40"/>
      <c r="E86" s="40"/>
      <c r="S86" s="23"/>
      <c r="T86" s="23"/>
      <c r="U86" s="23"/>
      <c r="W86" s="23"/>
    </row>
    <row r="87" spans="1:23" x14ac:dyDescent="0.25">
      <c r="A87" s="40"/>
      <c r="B87" s="40"/>
      <c r="C87" s="40"/>
      <c r="D87" s="40"/>
      <c r="E87" s="40"/>
      <c r="S87" s="23"/>
      <c r="T87" s="23"/>
      <c r="U87" s="23"/>
      <c r="W87" s="23"/>
    </row>
    <row r="88" spans="1:23" x14ac:dyDescent="0.25">
      <c r="A88" s="40"/>
      <c r="B88" s="40"/>
      <c r="C88" s="40"/>
      <c r="D88" s="40"/>
      <c r="E88" s="40"/>
    </row>
    <row r="89" spans="1:23" x14ac:dyDescent="0.25">
      <c r="A89" s="40"/>
      <c r="B89" s="40"/>
      <c r="C89" s="40"/>
      <c r="D89" s="40"/>
      <c r="E89" s="40"/>
    </row>
    <row r="90" spans="1:23" x14ac:dyDescent="0.25">
      <c r="A90" s="40"/>
      <c r="B90" s="40"/>
      <c r="C90" s="40"/>
      <c r="D90" s="40"/>
      <c r="E90" s="40"/>
    </row>
    <row r="91" spans="1:23" x14ac:dyDescent="0.25">
      <c r="A91" s="40"/>
      <c r="B91" s="40"/>
      <c r="C91" s="40"/>
      <c r="D91" s="40"/>
      <c r="E91" s="40"/>
    </row>
    <row r="92" spans="1:23" x14ac:dyDescent="0.25">
      <c r="A92" s="40"/>
      <c r="B92" s="40"/>
      <c r="C92" s="40"/>
      <c r="D92" s="40"/>
      <c r="E92" s="40"/>
    </row>
    <row r="93" spans="1:23" x14ac:dyDescent="0.25">
      <c r="A93" s="40"/>
      <c r="B93" s="40"/>
      <c r="C93" s="40"/>
      <c r="D93" s="40"/>
      <c r="E93" s="40"/>
    </row>
    <row r="94" spans="1:23" x14ac:dyDescent="0.25">
      <c r="A94" s="40"/>
      <c r="B94" s="40"/>
      <c r="C94" s="40"/>
      <c r="D94" s="40"/>
      <c r="E94" s="40"/>
    </row>
    <row r="95" spans="1:23" x14ac:dyDescent="0.25">
      <c r="A95" s="40"/>
      <c r="B95" s="40"/>
      <c r="C95" s="40"/>
      <c r="D95" s="40"/>
      <c r="E95" s="40"/>
    </row>
    <row r="96" spans="1:23" x14ac:dyDescent="0.25">
      <c r="A96" s="40"/>
      <c r="B96" s="40"/>
      <c r="C96" s="40"/>
      <c r="D96" s="40"/>
      <c r="E96" s="40"/>
    </row>
    <row r="97" spans="1:5" x14ac:dyDescent="0.25">
      <c r="A97" s="40"/>
      <c r="B97" s="40"/>
      <c r="C97" s="40"/>
      <c r="D97" s="40"/>
      <c r="E97" s="40"/>
    </row>
    <row r="98" spans="1:5" x14ac:dyDescent="0.25">
      <c r="A98" s="40"/>
      <c r="B98" s="40"/>
      <c r="C98" s="40"/>
      <c r="D98" s="40"/>
      <c r="E98" s="40"/>
    </row>
    <row r="99" spans="1:5" x14ac:dyDescent="0.25">
      <c r="A99" s="40"/>
      <c r="B99" s="40"/>
      <c r="C99" s="40"/>
      <c r="D99" s="40"/>
      <c r="E99" s="40"/>
    </row>
    <row r="100" spans="1:5" x14ac:dyDescent="0.25">
      <c r="A100" s="40"/>
      <c r="B100" s="40"/>
      <c r="C100" s="40"/>
      <c r="D100" s="40"/>
      <c r="E100" s="40"/>
    </row>
    <row r="101" spans="1:5" x14ac:dyDescent="0.25">
      <c r="A101" s="40"/>
      <c r="B101" s="40"/>
      <c r="C101" s="40"/>
      <c r="D101" s="40"/>
      <c r="E101" s="40"/>
    </row>
    <row r="102" spans="1:5" x14ac:dyDescent="0.25">
      <c r="A102" s="40"/>
      <c r="B102" s="40"/>
      <c r="C102" s="40"/>
      <c r="D102" s="40"/>
      <c r="E102" s="40"/>
    </row>
    <row r="103" spans="1:5" x14ac:dyDescent="0.25">
      <c r="A103" s="40"/>
      <c r="B103" s="40"/>
      <c r="C103" s="40"/>
      <c r="D103" s="40"/>
      <c r="E103" s="40"/>
    </row>
    <row r="104" spans="1:5" x14ac:dyDescent="0.25">
      <c r="A104" s="40"/>
      <c r="B104" s="40"/>
      <c r="C104" s="40"/>
      <c r="D104" s="40"/>
      <c r="E104" s="40"/>
    </row>
    <row r="105" spans="1:5" x14ac:dyDescent="0.25">
      <c r="A105" s="40"/>
      <c r="B105" s="40"/>
      <c r="C105" s="40"/>
      <c r="D105" s="40"/>
      <c r="E105" s="40"/>
    </row>
    <row r="106" spans="1:5" x14ac:dyDescent="0.25">
      <c r="A106" s="40"/>
      <c r="B106" s="40"/>
      <c r="C106" s="40"/>
      <c r="D106" s="40"/>
      <c r="E106" s="40"/>
    </row>
  </sheetData>
  <mergeCells count="1">
    <mergeCell ref="O4:Q4"/>
  </mergeCells>
  <pageMargins left="0.70866141732283505" right="0.70866141732283505" top="0.74803149606299202" bottom="0.35433070866141703" header="0.118110236220472" footer="0.31496062992126"/>
  <pageSetup scale="80" fitToHeight="0" orientation="portrait" horizontalDpi="4294967293" verticalDpi="4294967293" r:id="rId1"/>
  <headerFooter>
    <oddFooter>&amp;R&amp;"Arial,Bold"&amp;8 Page &amp;P of &amp;N</oddFooter>
  </headerFooter>
  <rowBreaks count="1" manualBreakCount="1"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E18F-3B82-4715-B7E2-2CC86F965439}">
  <dimension ref="A2:J72"/>
  <sheetViews>
    <sheetView topLeftCell="A37" workbookViewId="0">
      <selection activeCell="F52" sqref="F52"/>
    </sheetView>
  </sheetViews>
  <sheetFormatPr defaultRowHeight="15" x14ac:dyDescent="0.25"/>
  <cols>
    <col min="1" max="1" width="12.7109375" bestFit="1" customWidth="1"/>
    <col min="2" max="2" width="13.28515625" customWidth="1"/>
    <col min="3" max="3" width="10.5703125" style="17" bestFit="1" customWidth="1"/>
    <col min="4" max="4" width="16.42578125" bestFit="1" customWidth="1"/>
    <col min="5" max="6" width="11.5703125" bestFit="1" customWidth="1"/>
    <col min="7" max="7" width="10.5703125" bestFit="1" customWidth="1"/>
    <col min="8" max="8" width="11.5703125" bestFit="1" customWidth="1"/>
  </cols>
  <sheetData>
    <row r="2" spans="1:5" x14ac:dyDescent="0.25">
      <c r="A2" s="46" t="s">
        <v>155</v>
      </c>
      <c r="D2" s="119" t="s">
        <v>158</v>
      </c>
    </row>
    <row r="3" spans="1:5" x14ac:dyDescent="0.25">
      <c r="A3" t="s">
        <v>81</v>
      </c>
      <c r="B3" s="17">
        <v>13507</v>
      </c>
      <c r="D3" t="s">
        <v>156</v>
      </c>
      <c r="E3" s="151">
        <v>140000</v>
      </c>
    </row>
    <row r="4" spans="1:5" x14ac:dyDescent="0.25">
      <c r="A4" t="s">
        <v>58</v>
      </c>
      <c r="B4" s="146">
        <v>181637</v>
      </c>
      <c r="D4" t="s">
        <v>157</v>
      </c>
      <c r="E4" s="17">
        <f>3000*12</f>
        <v>36000</v>
      </c>
    </row>
    <row r="5" spans="1:5" x14ac:dyDescent="0.25">
      <c r="A5" t="s">
        <v>57</v>
      </c>
      <c r="B5" s="17">
        <v>107289</v>
      </c>
      <c r="D5" t="s">
        <v>91</v>
      </c>
      <c r="E5" s="17">
        <f>300*12</f>
        <v>3600</v>
      </c>
    </row>
    <row r="6" spans="1:5" ht="15.75" thickBot="1" x14ac:dyDescent="0.3">
      <c r="B6" s="144">
        <f>SUM(B3:B5)</f>
        <v>302433</v>
      </c>
      <c r="D6" t="s">
        <v>125</v>
      </c>
      <c r="E6" s="145">
        <f>B4-SUM(E3:E5)</f>
        <v>2037</v>
      </c>
    </row>
    <row r="7" spans="1:5" ht="15.75" thickBot="1" x14ac:dyDescent="0.3">
      <c r="E7" s="147">
        <f>SUM(E3:E6)</f>
        <v>181637</v>
      </c>
    </row>
    <row r="8" spans="1:5" x14ac:dyDescent="0.25">
      <c r="A8" s="119" t="s">
        <v>165</v>
      </c>
      <c r="D8" t="s">
        <v>167</v>
      </c>
      <c r="E8" s="148"/>
    </row>
    <row r="9" spans="1:5" x14ac:dyDescent="0.25">
      <c r="A9" t="s">
        <v>166</v>
      </c>
      <c r="B9" s="17">
        <v>150000</v>
      </c>
      <c r="D9" t="s">
        <v>168</v>
      </c>
      <c r="E9" s="152">
        <v>150000</v>
      </c>
    </row>
    <row r="10" spans="1:5" x14ac:dyDescent="0.25">
      <c r="E10" s="148"/>
    </row>
    <row r="11" spans="1:5" x14ac:dyDescent="0.25">
      <c r="E11" s="148"/>
    </row>
    <row r="12" spans="1:5" x14ac:dyDescent="0.25">
      <c r="A12" s="46" t="s">
        <v>159</v>
      </c>
      <c r="E12" s="148"/>
    </row>
    <row r="13" spans="1:5" x14ac:dyDescent="0.25">
      <c r="A13" s="25" t="s">
        <v>145</v>
      </c>
      <c r="B13" s="17">
        <v>15000</v>
      </c>
      <c r="E13" s="148"/>
    </row>
    <row r="14" spans="1:5" x14ac:dyDescent="0.25">
      <c r="A14" t="s">
        <v>68</v>
      </c>
      <c r="B14" s="17">
        <v>50000</v>
      </c>
      <c r="E14" s="148"/>
    </row>
    <row r="15" spans="1:5" x14ac:dyDescent="0.25">
      <c r="A15" t="s">
        <v>160</v>
      </c>
      <c r="B15" s="17">
        <v>5000</v>
      </c>
      <c r="E15" s="148"/>
    </row>
    <row r="16" spans="1:5" x14ac:dyDescent="0.25">
      <c r="A16" t="s">
        <v>161</v>
      </c>
      <c r="B16" s="17">
        <v>5000</v>
      </c>
      <c r="E16" s="148"/>
    </row>
    <row r="17" spans="1:5" ht="15.75" thickBot="1" x14ac:dyDescent="0.3">
      <c r="B17" s="144">
        <f>SUM(B13:B16)</f>
        <v>75000</v>
      </c>
      <c r="E17" s="148"/>
    </row>
    <row r="18" spans="1:5" x14ac:dyDescent="0.25">
      <c r="E18" s="148"/>
    </row>
    <row r="19" spans="1:5" x14ac:dyDescent="0.25">
      <c r="A19" s="46" t="s">
        <v>162</v>
      </c>
      <c r="B19" s="46"/>
      <c r="E19" s="148"/>
    </row>
    <row r="20" spans="1:5" x14ac:dyDescent="0.25">
      <c r="A20" t="s">
        <v>163</v>
      </c>
      <c r="B20">
        <v>650</v>
      </c>
      <c r="C20" s="149">
        <v>50</v>
      </c>
      <c r="D20" s="145">
        <f>B20*C20</f>
        <v>32500</v>
      </c>
      <c r="E20" s="148"/>
    </row>
    <row r="21" spans="1:5" x14ac:dyDescent="0.25">
      <c r="E21" s="148"/>
    </row>
    <row r="22" spans="1:5" x14ac:dyDescent="0.25">
      <c r="A22" s="46" t="s">
        <v>149</v>
      </c>
      <c r="E22" s="148"/>
    </row>
    <row r="23" spans="1:5" x14ac:dyDescent="0.25">
      <c r="A23" t="s">
        <v>164</v>
      </c>
      <c r="E23" s="148"/>
    </row>
    <row r="24" spans="1:5" x14ac:dyDescent="0.25">
      <c r="E24" s="148"/>
    </row>
    <row r="25" spans="1:5" x14ac:dyDescent="0.25">
      <c r="E25" s="148"/>
    </row>
    <row r="26" spans="1:5" x14ac:dyDescent="0.25">
      <c r="A26" s="46" t="s">
        <v>114</v>
      </c>
    </row>
    <row r="27" spans="1:5" x14ac:dyDescent="0.25">
      <c r="A27" t="s">
        <v>113</v>
      </c>
      <c r="B27" t="s">
        <v>117</v>
      </c>
      <c r="C27" s="17">
        <f>12*12</f>
        <v>144</v>
      </c>
    </row>
    <row r="28" spans="1:5" x14ac:dyDescent="0.25">
      <c r="A28" t="s">
        <v>115</v>
      </c>
      <c r="B28" t="s">
        <v>116</v>
      </c>
      <c r="C28" s="17">
        <v>150</v>
      </c>
    </row>
    <row r="29" spans="1:5" x14ac:dyDescent="0.25">
      <c r="A29" t="s">
        <v>118</v>
      </c>
      <c r="C29" s="17">
        <v>300</v>
      </c>
    </row>
    <row r="30" spans="1:5" x14ac:dyDescent="0.25">
      <c r="A30" t="s">
        <v>119</v>
      </c>
      <c r="B30" t="s">
        <v>120</v>
      </c>
      <c r="C30" s="48">
        <f>12*20</f>
        <v>240</v>
      </c>
    </row>
    <row r="31" spans="1:5" x14ac:dyDescent="0.25">
      <c r="C31" s="17">
        <f>SUM(C27:C30)</f>
        <v>834</v>
      </c>
    </row>
    <row r="33" spans="1:6" x14ac:dyDescent="0.25">
      <c r="A33" s="46" t="s">
        <v>91</v>
      </c>
    </row>
    <row r="34" spans="1:6" x14ac:dyDescent="0.25">
      <c r="A34" t="s">
        <v>121</v>
      </c>
      <c r="B34" t="s">
        <v>124</v>
      </c>
      <c r="C34" s="17">
        <f>2300*12</f>
        <v>27600</v>
      </c>
      <c r="F34">
        <f>16000/7</f>
        <v>2285.7142857142858</v>
      </c>
    </row>
    <row r="35" spans="1:6" x14ac:dyDescent="0.25">
      <c r="A35" t="s">
        <v>122</v>
      </c>
      <c r="B35" t="s">
        <v>123</v>
      </c>
      <c r="C35" s="17">
        <f>320*12</f>
        <v>3840</v>
      </c>
    </row>
    <row r="36" spans="1:6" x14ac:dyDescent="0.25">
      <c r="A36" t="s">
        <v>125</v>
      </c>
      <c r="C36" s="48">
        <v>2000</v>
      </c>
    </row>
    <row r="37" spans="1:6" x14ac:dyDescent="0.25">
      <c r="C37" s="17">
        <f>SUM(C34:C36)</f>
        <v>33440</v>
      </c>
    </row>
    <row r="39" spans="1:6" x14ac:dyDescent="0.25">
      <c r="A39" t="s">
        <v>126</v>
      </c>
    </row>
    <row r="40" spans="1:6" x14ac:dyDescent="0.25">
      <c r="A40" t="s">
        <v>127</v>
      </c>
      <c r="C40" s="17">
        <v>12000</v>
      </c>
    </row>
    <row r="41" spans="1:6" x14ac:dyDescent="0.25">
      <c r="A41" t="s">
        <v>128</v>
      </c>
      <c r="C41" s="17">
        <v>5000</v>
      </c>
    </row>
    <row r="42" spans="1:6" x14ac:dyDescent="0.25">
      <c r="A42" t="s">
        <v>129</v>
      </c>
      <c r="B42" t="s">
        <v>130</v>
      </c>
      <c r="C42" s="48">
        <f>3000*12*1.025</f>
        <v>36900</v>
      </c>
    </row>
    <row r="43" spans="1:6" x14ac:dyDescent="0.25">
      <c r="C43" s="17">
        <f>SUM(C40:C42)</f>
        <v>53900</v>
      </c>
    </row>
    <row r="45" spans="1:6" x14ac:dyDescent="0.25">
      <c r="A45" s="150" t="s">
        <v>131</v>
      </c>
      <c r="B45" s="150"/>
    </row>
    <row r="46" spans="1:6" x14ac:dyDescent="0.25">
      <c r="A46" t="s">
        <v>132</v>
      </c>
      <c r="B46" t="s">
        <v>133</v>
      </c>
      <c r="C46" s="17">
        <f>25*12</f>
        <v>300</v>
      </c>
    </row>
    <row r="47" spans="1:6" x14ac:dyDescent="0.25">
      <c r="A47" t="s">
        <v>134</v>
      </c>
      <c r="B47" t="s">
        <v>135</v>
      </c>
      <c r="C47" s="17">
        <f>200*3</f>
        <v>600</v>
      </c>
    </row>
    <row r="48" spans="1:6" x14ac:dyDescent="0.25">
      <c r="C48" s="47">
        <f>SUM(C46:C47)</f>
        <v>900</v>
      </c>
    </row>
    <row r="50" spans="1:10" x14ac:dyDescent="0.25">
      <c r="B50" s="119" t="s">
        <v>169</v>
      </c>
      <c r="F50" s="119" t="s">
        <v>170</v>
      </c>
    </row>
    <row r="51" spans="1:10" x14ac:dyDescent="0.25">
      <c r="A51" s="119" t="s">
        <v>136</v>
      </c>
      <c r="B51" s="119"/>
      <c r="C51" s="127" t="s">
        <v>138</v>
      </c>
      <c r="D51" s="119" t="s">
        <v>139</v>
      </c>
      <c r="G51" s="127" t="s">
        <v>138</v>
      </c>
      <c r="H51" s="119" t="s">
        <v>139</v>
      </c>
    </row>
    <row r="52" spans="1:10" x14ac:dyDescent="0.25">
      <c r="A52" t="s">
        <v>60</v>
      </c>
      <c r="B52" s="17">
        <f>120000+46.15*26+0.1</f>
        <v>121200</v>
      </c>
      <c r="C52" s="17">
        <f>3166.45</f>
        <v>3166.45</v>
      </c>
      <c r="D52">
        <v>1245.3599999999999</v>
      </c>
      <c r="F52" s="17">
        <f>B52*1.02</f>
        <v>123624</v>
      </c>
      <c r="G52" s="17">
        <f>C52*1.02</f>
        <v>3229.779</v>
      </c>
      <c r="H52" s="17">
        <f>D52*1.02</f>
        <v>1270.2672</v>
      </c>
      <c r="J52" t="s">
        <v>172</v>
      </c>
    </row>
    <row r="53" spans="1:10" x14ac:dyDescent="0.25">
      <c r="A53" t="s">
        <v>59</v>
      </c>
      <c r="B53" s="17">
        <f>(2746.17+46.15)*26-0.32</f>
        <v>72600</v>
      </c>
      <c r="C53" s="17">
        <f>3166.45</f>
        <v>3166.45</v>
      </c>
      <c r="D53">
        <v>1245.3599999999999</v>
      </c>
      <c r="F53" s="17">
        <f>B53</f>
        <v>72600</v>
      </c>
      <c r="G53" s="17">
        <f t="shared" ref="G53:G55" si="0">C53*1.02</f>
        <v>3229.779</v>
      </c>
      <c r="H53" s="17">
        <f t="shared" ref="H53:H55" si="1">D53*1.02</f>
        <v>1270.2672</v>
      </c>
      <c r="J53" t="s">
        <v>171</v>
      </c>
    </row>
    <row r="54" spans="1:10" x14ac:dyDescent="0.25">
      <c r="A54" t="s">
        <v>137</v>
      </c>
      <c r="B54" s="17">
        <f>(1961.54+46.15)*26+0.06</f>
        <v>52200</v>
      </c>
      <c r="C54" s="17">
        <f>(B54-3500)*0.0545</f>
        <v>2654.15</v>
      </c>
      <c r="D54" s="76">
        <f>B54*0.0158*1.4</f>
        <v>1154.664</v>
      </c>
      <c r="F54" s="17">
        <f t="shared" ref="F54" si="2">B54</f>
        <v>52200</v>
      </c>
      <c r="G54" s="17">
        <f t="shared" si="0"/>
        <v>2707.2330000000002</v>
      </c>
      <c r="H54" s="17">
        <f t="shared" si="1"/>
        <v>1177.75728</v>
      </c>
    </row>
    <row r="55" spans="1:10" x14ac:dyDescent="0.25">
      <c r="A55" t="s">
        <v>140</v>
      </c>
      <c r="B55" s="48">
        <f>25*30*26</f>
        <v>19500</v>
      </c>
      <c r="C55" s="48">
        <f>(B55-3500)*0.0545</f>
        <v>872</v>
      </c>
      <c r="D55" s="141">
        <f>B55*0.0158*1.4</f>
        <v>431.34000000000003</v>
      </c>
      <c r="F55" s="48">
        <v>20000</v>
      </c>
      <c r="G55" s="48">
        <f t="shared" si="0"/>
        <v>889.44</v>
      </c>
      <c r="H55" s="48">
        <f t="shared" si="1"/>
        <v>439.96680000000003</v>
      </c>
    </row>
    <row r="56" spans="1:10" x14ac:dyDescent="0.25">
      <c r="B56" s="76">
        <f>SUM(B52:B55)</f>
        <v>265500</v>
      </c>
      <c r="C56" s="76">
        <f t="shared" ref="C56:D56" si="3">SUM(C52:C55)</f>
        <v>9859.0499999999993</v>
      </c>
      <c r="D56" s="76">
        <f t="shared" si="3"/>
        <v>4076.7240000000002</v>
      </c>
      <c r="F56" s="145">
        <f>SUM(F52:F55)</f>
        <v>268424</v>
      </c>
      <c r="G56" s="145">
        <f t="shared" ref="G56:H56" si="4">SUM(G52:G55)</f>
        <v>10056.231000000002</v>
      </c>
      <c r="H56" s="145">
        <f t="shared" si="4"/>
        <v>4158.2584800000004</v>
      </c>
    </row>
    <row r="57" spans="1:10" x14ac:dyDescent="0.25">
      <c r="A57" t="s">
        <v>141</v>
      </c>
      <c r="B57" s="48">
        <f>12000+5000+7000</f>
        <v>24000</v>
      </c>
      <c r="C57" s="48">
        <v>250</v>
      </c>
      <c r="D57" s="143">
        <v>200</v>
      </c>
      <c r="H57" s="145">
        <f>SUM(G56:H56)</f>
        <v>14214.489480000002</v>
      </c>
    </row>
    <row r="58" spans="1:10" x14ac:dyDescent="0.25">
      <c r="B58" s="44">
        <f>SUM(B56:B57)</f>
        <v>289500</v>
      </c>
      <c r="C58" s="44">
        <f t="shared" ref="C58:D58" si="5">SUM(C56:C57)</f>
        <v>10109.049999999999</v>
      </c>
      <c r="D58" s="44">
        <f t="shared" si="5"/>
        <v>4276.7240000000002</v>
      </c>
    </row>
    <row r="59" spans="1:10" x14ac:dyDescent="0.25">
      <c r="D59" s="76">
        <f>SUM(C58:D58)</f>
        <v>14385.773999999999</v>
      </c>
    </row>
    <row r="61" spans="1:10" x14ac:dyDescent="0.25">
      <c r="A61" t="s">
        <v>142</v>
      </c>
    </row>
    <row r="62" spans="1:10" x14ac:dyDescent="0.25">
      <c r="A62" t="s">
        <v>143</v>
      </c>
      <c r="B62" t="s">
        <v>144</v>
      </c>
      <c r="C62" s="17">
        <f>760*12</f>
        <v>9120</v>
      </c>
      <c r="F62" s="145">
        <f>C62/1.02</f>
        <v>8941.176470588236</v>
      </c>
    </row>
    <row r="63" spans="1:10" x14ac:dyDescent="0.25">
      <c r="A63" t="s">
        <v>145</v>
      </c>
      <c r="C63" s="48">
        <v>900</v>
      </c>
      <c r="F63" s="48">
        <v>1200</v>
      </c>
      <c r="H63" t="s">
        <v>173</v>
      </c>
    </row>
    <row r="64" spans="1:10" x14ac:dyDescent="0.25">
      <c r="C64" s="17">
        <f>SUM(C62:C63)</f>
        <v>10020</v>
      </c>
      <c r="F64" s="17">
        <f>SUM(F62:F63)</f>
        <v>10141.176470588236</v>
      </c>
      <c r="H64" s="76">
        <f>F64+H57+F56+F68</f>
        <v>293729.66595058824</v>
      </c>
    </row>
    <row r="66" spans="1:6" x14ac:dyDescent="0.25">
      <c r="A66" t="s">
        <v>146</v>
      </c>
      <c r="B66" t="s">
        <v>147</v>
      </c>
      <c r="C66" s="17">
        <f>32*26</f>
        <v>832</v>
      </c>
    </row>
    <row r="67" spans="1:6" x14ac:dyDescent="0.25">
      <c r="B67" t="s">
        <v>148</v>
      </c>
      <c r="C67" s="17">
        <v>60</v>
      </c>
    </row>
    <row r="68" spans="1:6" x14ac:dyDescent="0.25">
      <c r="C68" s="17">
        <f>SUM(C66:C67)</f>
        <v>892</v>
      </c>
      <c r="F68" s="17">
        <v>950</v>
      </c>
    </row>
    <row r="69" spans="1:6" x14ac:dyDescent="0.25">
      <c r="F69" s="17"/>
    </row>
    <row r="70" spans="1:6" x14ac:dyDescent="0.25">
      <c r="A70" t="s">
        <v>149</v>
      </c>
      <c r="C70" s="17">
        <v>64904</v>
      </c>
      <c r="F70" s="17"/>
    </row>
    <row r="71" spans="1:6" x14ac:dyDescent="0.25">
      <c r="A71" t="s">
        <v>150</v>
      </c>
      <c r="B71" t="s">
        <v>151</v>
      </c>
      <c r="C71" s="17">
        <v>21000</v>
      </c>
      <c r="F71" s="17">
        <v>7000</v>
      </c>
    </row>
    <row r="72" spans="1:6" x14ac:dyDescent="0.25">
      <c r="C72" s="17">
        <f>SUM(C70:C71)</f>
        <v>85904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793C-5B49-4BE1-B2E7-0841FEF7529E}">
  <dimension ref="A1:J47"/>
  <sheetViews>
    <sheetView topLeftCell="A13" workbookViewId="0">
      <selection activeCell="J11" sqref="J11"/>
    </sheetView>
  </sheetViews>
  <sheetFormatPr defaultRowHeight="15" outlineLevelCol="1" x14ac:dyDescent="0.25"/>
  <cols>
    <col min="1" max="4" width="3" style="140" customWidth="1"/>
    <col min="5" max="5" width="43.42578125" style="140" customWidth="1"/>
    <col min="6" max="6" width="17.28515625" style="17" bestFit="1" customWidth="1"/>
    <col min="7" max="7" width="12.28515625" style="17" hidden="1" customWidth="1" outlineLevel="1"/>
    <col min="8" max="8" width="21.7109375" style="17" bestFit="1" customWidth="1" collapsed="1"/>
    <col min="9" max="9" width="12" bestFit="1" customWidth="1"/>
  </cols>
  <sheetData>
    <row r="1" spans="1:10" ht="15.75" x14ac:dyDescent="0.25">
      <c r="A1" s="132" t="s">
        <v>0</v>
      </c>
      <c r="B1" s="133"/>
      <c r="C1" s="133"/>
      <c r="D1" s="133"/>
      <c r="E1" s="133"/>
      <c r="F1" s="168" t="s">
        <v>95</v>
      </c>
      <c r="H1" s="168"/>
    </row>
    <row r="2" spans="1:10" ht="18" x14ac:dyDescent="0.25">
      <c r="A2" s="134" t="s">
        <v>96</v>
      </c>
      <c r="B2" s="133"/>
      <c r="C2" s="133"/>
      <c r="D2" s="133"/>
      <c r="E2" s="133"/>
      <c r="F2" s="168">
        <v>44315</v>
      </c>
      <c r="H2" s="168"/>
    </row>
    <row r="3" spans="1:10" x14ac:dyDescent="0.25">
      <c r="A3" s="135" t="s">
        <v>97</v>
      </c>
      <c r="B3" s="133"/>
      <c r="C3" s="133"/>
      <c r="D3" s="133"/>
      <c r="E3" s="133"/>
      <c r="F3" s="168" t="s">
        <v>98</v>
      </c>
      <c r="H3" s="142" t="s">
        <v>154</v>
      </c>
    </row>
    <row r="4" spans="1:10" s="15" customFormat="1" ht="15.75" thickBot="1" x14ac:dyDescent="0.3">
      <c r="A4" s="136"/>
      <c r="B4" s="136"/>
      <c r="C4" s="136"/>
      <c r="D4" s="136"/>
      <c r="E4" s="136"/>
      <c r="F4" s="169" t="s">
        <v>99</v>
      </c>
      <c r="G4" s="137"/>
      <c r="H4" s="169" t="s">
        <v>175</v>
      </c>
    </row>
    <row r="5" spans="1:10" ht="15.75" thickTop="1" x14ac:dyDescent="0.25">
      <c r="A5" s="138"/>
      <c r="B5" s="138" t="s">
        <v>1</v>
      </c>
      <c r="C5" s="138"/>
      <c r="D5" s="138"/>
      <c r="E5" s="138"/>
      <c r="F5" s="142"/>
      <c r="I5" s="119"/>
    </row>
    <row r="6" spans="1:10" x14ac:dyDescent="0.25">
      <c r="A6" s="138"/>
      <c r="B6" s="138"/>
      <c r="C6" s="138"/>
      <c r="D6" s="138" t="s">
        <v>2</v>
      </c>
      <c r="E6" s="138"/>
      <c r="F6" s="142"/>
      <c r="H6" s="142"/>
    </row>
    <row r="7" spans="1:10" x14ac:dyDescent="0.25">
      <c r="A7" s="138"/>
      <c r="B7" s="138"/>
      <c r="C7" s="138"/>
      <c r="D7" s="138"/>
      <c r="E7" s="138" t="s">
        <v>100</v>
      </c>
      <c r="F7" s="142">
        <v>117155.49</v>
      </c>
      <c r="G7" s="17">
        <f>8870*5+4911+25000</f>
        <v>74261</v>
      </c>
      <c r="H7" s="142">
        <f>SUM(F7:G7)</f>
        <v>191416.49</v>
      </c>
      <c r="J7" s="139" t="s">
        <v>153</v>
      </c>
    </row>
    <row r="8" spans="1:10" x14ac:dyDescent="0.25">
      <c r="A8" s="138"/>
      <c r="B8" s="138"/>
      <c r="C8" s="138"/>
      <c r="D8" s="138"/>
      <c r="E8" s="138" t="s">
        <v>52</v>
      </c>
      <c r="F8" s="142">
        <v>139107.60999999999</v>
      </c>
      <c r="G8" s="17">
        <v>0</v>
      </c>
      <c r="H8" s="142">
        <f t="shared" ref="H8:H11" si="0">SUM(F8:G8)</f>
        <v>139107.60999999999</v>
      </c>
    </row>
    <row r="9" spans="1:10" x14ac:dyDescent="0.25">
      <c r="A9" s="138"/>
      <c r="B9" s="138"/>
      <c r="C9" s="138"/>
      <c r="D9" s="138"/>
      <c r="E9" s="138" t="s">
        <v>4</v>
      </c>
      <c r="F9" s="142">
        <v>22000</v>
      </c>
      <c r="G9" s="17">
        <v>25000</v>
      </c>
      <c r="H9" s="142">
        <f t="shared" si="0"/>
        <v>47000</v>
      </c>
    </row>
    <row r="10" spans="1:10" x14ac:dyDescent="0.25">
      <c r="A10" s="138"/>
      <c r="B10" s="138"/>
      <c r="C10" s="138"/>
      <c r="D10" s="138"/>
      <c r="E10" s="138" t="s">
        <v>5</v>
      </c>
      <c r="F10" s="142">
        <v>6800</v>
      </c>
      <c r="G10" s="17">
        <v>200</v>
      </c>
      <c r="H10" s="142">
        <f t="shared" si="0"/>
        <v>7000</v>
      </c>
    </row>
    <row r="11" spans="1:10" ht="15.75" thickBot="1" x14ac:dyDescent="0.3">
      <c r="A11" s="138"/>
      <c r="B11" s="138"/>
      <c r="C11" s="138"/>
      <c r="D11" s="138"/>
      <c r="E11" s="138" t="s">
        <v>6</v>
      </c>
      <c r="F11" s="170">
        <v>0.14000000000000001</v>
      </c>
      <c r="H11" s="170">
        <f t="shared" si="0"/>
        <v>0.14000000000000001</v>
      </c>
    </row>
    <row r="12" spans="1:10" x14ac:dyDescent="0.25">
      <c r="A12" s="138"/>
      <c r="B12" s="138"/>
      <c r="C12" s="138"/>
      <c r="D12" s="138" t="s">
        <v>7</v>
      </c>
      <c r="E12" s="138"/>
      <c r="F12" s="142">
        <f>ROUND(SUM(F6:F11),5)</f>
        <v>285063.24</v>
      </c>
      <c r="H12" s="142">
        <f>SUM(H7:H11)</f>
        <v>384524.24</v>
      </c>
    </row>
    <row r="13" spans="1:10" x14ac:dyDescent="0.25">
      <c r="A13" s="138"/>
      <c r="B13" s="138"/>
      <c r="C13" s="138"/>
      <c r="D13" s="138" t="s">
        <v>8</v>
      </c>
      <c r="E13" s="138"/>
      <c r="F13" s="142"/>
      <c r="G13" s="127" t="s">
        <v>152</v>
      </c>
      <c r="H13" s="142"/>
    </row>
    <row r="14" spans="1:10" x14ac:dyDescent="0.25">
      <c r="A14" s="138"/>
      <c r="B14" s="138"/>
      <c r="C14" s="138"/>
      <c r="D14" s="138"/>
      <c r="E14" s="138" t="s">
        <v>9</v>
      </c>
      <c r="F14" s="142">
        <v>52572.31</v>
      </c>
      <c r="G14" s="17">
        <f>F14/7*12</f>
        <v>90123.959999999992</v>
      </c>
      <c r="H14" s="142">
        <v>65000</v>
      </c>
    </row>
    <row r="15" spans="1:10" x14ac:dyDescent="0.25">
      <c r="A15" s="138"/>
      <c r="B15" s="138"/>
      <c r="C15" s="138"/>
      <c r="D15" s="138"/>
      <c r="E15" s="138" t="s">
        <v>10</v>
      </c>
      <c r="F15" s="142">
        <v>3282.63</v>
      </c>
      <c r="G15" s="17">
        <f t="shared" ref="G15:G42" si="1">F15/7*12</f>
        <v>5627.3657142857146</v>
      </c>
      <c r="H15" s="142">
        <v>40000</v>
      </c>
    </row>
    <row r="16" spans="1:10" x14ac:dyDescent="0.25">
      <c r="A16" s="138"/>
      <c r="B16" s="138"/>
      <c r="C16" s="138"/>
      <c r="D16" s="138"/>
      <c r="E16" s="138" t="s">
        <v>11</v>
      </c>
      <c r="F16" s="142">
        <v>0</v>
      </c>
      <c r="G16" s="17">
        <f t="shared" si="1"/>
        <v>0</v>
      </c>
      <c r="H16" s="142">
        <v>0</v>
      </c>
    </row>
    <row r="17" spans="1:8" ht="15.75" thickBot="1" x14ac:dyDescent="0.3">
      <c r="A17" s="138"/>
      <c r="B17" s="138"/>
      <c r="C17" s="138"/>
      <c r="D17" s="138"/>
      <c r="E17" s="138" t="s">
        <v>101</v>
      </c>
      <c r="F17" s="142">
        <v>37980.910000000003</v>
      </c>
      <c r="G17" s="48">
        <f t="shared" si="1"/>
        <v>65110.131428571432</v>
      </c>
      <c r="H17" s="142">
        <v>40000</v>
      </c>
    </row>
    <row r="18" spans="1:8" ht="15.75" thickBot="1" x14ac:dyDescent="0.3">
      <c r="A18" s="138"/>
      <c r="B18" s="138"/>
      <c r="C18" s="138"/>
      <c r="D18" s="138" t="s">
        <v>14</v>
      </c>
      <c r="E18" s="138"/>
      <c r="F18" s="171">
        <f>ROUND(SUM(F13:F17),5)</f>
        <v>93835.85</v>
      </c>
      <c r="G18" s="48">
        <f>SUM(G14:G17)</f>
        <v>160861.45714285714</v>
      </c>
      <c r="H18" s="171">
        <f>SUM(H14:H17)</f>
        <v>145000</v>
      </c>
    </row>
    <row r="19" spans="1:8" x14ac:dyDescent="0.25">
      <c r="A19" s="138"/>
      <c r="B19" s="138"/>
      <c r="C19" s="138" t="s">
        <v>15</v>
      </c>
      <c r="D19" s="138"/>
      <c r="E19" s="138"/>
      <c r="F19" s="142">
        <f>ROUND(F12-F18,5)</f>
        <v>191227.39</v>
      </c>
      <c r="H19" s="142">
        <f>ROUND(H12-H18,5)</f>
        <v>239524.24</v>
      </c>
    </row>
    <row r="20" spans="1:8" x14ac:dyDescent="0.25">
      <c r="A20" s="138"/>
      <c r="B20" s="138"/>
      <c r="C20" s="138"/>
      <c r="D20" s="138" t="s">
        <v>102</v>
      </c>
      <c r="E20" s="138"/>
      <c r="F20" s="142"/>
      <c r="G20" s="17">
        <f t="shared" si="1"/>
        <v>0</v>
      </c>
      <c r="H20" s="142"/>
    </row>
    <row r="21" spans="1:8" x14ac:dyDescent="0.25">
      <c r="A21" s="138"/>
      <c r="B21" s="138"/>
      <c r="C21" s="138"/>
      <c r="D21" s="138"/>
      <c r="E21" s="138" t="s">
        <v>103</v>
      </c>
      <c r="F21" s="142">
        <v>0</v>
      </c>
      <c r="G21" s="17">
        <f t="shared" si="1"/>
        <v>0</v>
      </c>
      <c r="H21" s="142"/>
    </row>
    <row r="22" spans="1:8" x14ac:dyDescent="0.25">
      <c r="A22" s="138"/>
      <c r="B22" s="138"/>
      <c r="C22" s="138"/>
      <c r="D22" s="138"/>
      <c r="E22" s="138" t="s">
        <v>18</v>
      </c>
      <c r="F22" s="142">
        <v>3872.56</v>
      </c>
      <c r="G22" s="17">
        <f t="shared" si="1"/>
        <v>6638.6742857142854</v>
      </c>
      <c r="H22" s="142">
        <v>6600</v>
      </c>
    </row>
    <row r="23" spans="1:8" x14ac:dyDescent="0.25">
      <c r="A23" s="138"/>
      <c r="B23" s="138"/>
      <c r="C23" s="138"/>
      <c r="D23" s="138"/>
      <c r="E23" s="138" t="s">
        <v>19</v>
      </c>
      <c r="F23" s="142">
        <v>4511.53</v>
      </c>
      <c r="G23" s="17">
        <f t="shared" si="1"/>
        <v>7734.0514285714271</v>
      </c>
      <c r="H23" s="142">
        <v>4800</v>
      </c>
    </row>
    <row r="24" spans="1:8" x14ac:dyDescent="0.25">
      <c r="A24" s="138"/>
      <c r="B24" s="138"/>
      <c r="C24" s="138"/>
      <c r="D24" s="138"/>
      <c r="E24" s="138" t="s">
        <v>20</v>
      </c>
      <c r="F24" s="142">
        <v>659.31</v>
      </c>
      <c r="G24" s="17">
        <f t="shared" si="1"/>
        <v>1130.2457142857143</v>
      </c>
      <c r="H24" s="142">
        <v>850</v>
      </c>
    </row>
    <row r="25" spans="1:8" x14ac:dyDescent="0.25">
      <c r="A25" s="138"/>
      <c r="B25" s="138"/>
      <c r="C25" s="138"/>
      <c r="D25" s="138"/>
      <c r="E25" s="138" t="s">
        <v>21</v>
      </c>
      <c r="F25" s="142">
        <v>22093.98</v>
      </c>
      <c r="G25" s="17">
        <f t="shared" si="1"/>
        <v>37875.394285714283</v>
      </c>
      <c r="H25" s="142">
        <v>34000</v>
      </c>
    </row>
    <row r="26" spans="1:8" x14ac:dyDescent="0.25">
      <c r="A26" s="138"/>
      <c r="B26" s="138"/>
      <c r="C26" s="138"/>
      <c r="D26" s="138"/>
      <c r="E26" s="138" t="s">
        <v>22</v>
      </c>
      <c r="F26" s="142">
        <v>307.5</v>
      </c>
      <c r="G26" s="17">
        <f t="shared" si="1"/>
        <v>527.14285714285711</v>
      </c>
      <c r="H26" s="142">
        <v>550</v>
      </c>
    </row>
    <row r="27" spans="1:8" x14ac:dyDescent="0.25">
      <c r="A27" s="138"/>
      <c r="B27" s="138"/>
      <c r="C27" s="138"/>
      <c r="D27" s="138"/>
      <c r="E27" s="138" t="s">
        <v>23</v>
      </c>
      <c r="F27" s="142">
        <v>2130.27</v>
      </c>
      <c r="G27" s="17">
        <f t="shared" si="1"/>
        <v>3651.8914285714291</v>
      </c>
      <c r="H27" s="142">
        <v>4000</v>
      </c>
    </row>
    <row r="28" spans="1:8" x14ac:dyDescent="0.25">
      <c r="A28" s="138"/>
      <c r="B28" s="138"/>
      <c r="C28" s="138"/>
      <c r="D28" s="138"/>
      <c r="E28" s="138" t="s">
        <v>24</v>
      </c>
      <c r="F28" s="142">
        <v>165.16</v>
      </c>
      <c r="G28" s="17">
        <f t="shared" si="1"/>
        <v>283.13142857142856</v>
      </c>
      <c r="H28" s="142">
        <v>250</v>
      </c>
    </row>
    <row r="29" spans="1:8" x14ac:dyDescent="0.25">
      <c r="A29" s="138"/>
      <c r="B29" s="138"/>
      <c r="C29" s="138"/>
      <c r="D29" s="138"/>
      <c r="E29" s="138" t="s">
        <v>25</v>
      </c>
      <c r="F29" s="142">
        <v>69.52</v>
      </c>
      <c r="G29" s="17">
        <f t="shared" si="1"/>
        <v>119.17714285714285</v>
      </c>
      <c r="H29" s="142">
        <v>100</v>
      </c>
    </row>
    <row r="30" spans="1:8" x14ac:dyDescent="0.25">
      <c r="A30" s="138"/>
      <c r="B30" s="138"/>
      <c r="C30" s="138"/>
      <c r="D30" s="138"/>
      <c r="E30" s="138" t="s">
        <v>26</v>
      </c>
      <c r="F30" s="142">
        <v>30183.48</v>
      </c>
      <c r="G30" s="17">
        <f t="shared" si="1"/>
        <v>51743.108571428573</v>
      </c>
      <c r="H30" s="142">
        <v>55000</v>
      </c>
    </row>
    <row r="31" spans="1:8" x14ac:dyDescent="0.25">
      <c r="A31" s="138"/>
      <c r="B31" s="138"/>
      <c r="C31" s="138"/>
      <c r="D31" s="138"/>
      <c r="E31" s="138" t="s">
        <v>27</v>
      </c>
      <c r="F31" s="142">
        <v>1493.66</v>
      </c>
      <c r="G31" s="17">
        <f t="shared" si="1"/>
        <v>2560.5600000000004</v>
      </c>
      <c r="H31" s="142">
        <v>1600</v>
      </c>
    </row>
    <row r="32" spans="1:8" x14ac:dyDescent="0.25">
      <c r="A32" s="138"/>
      <c r="B32" s="138"/>
      <c r="C32" s="138"/>
      <c r="D32" s="138"/>
      <c r="E32" s="138" t="s">
        <v>28</v>
      </c>
      <c r="F32" s="142">
        <v>831.96</v>
      </c>
      <c r="G32" s="17">
        <f t="shared" si="1"/>
        <v>1426.2171428571428</v>
      </c>
      <c r="H32" s="142">
        <v>1000</v>
      </c>
    </row>
    <row r="33" spans="1:8" x14ac:dyDescent="0.25">
      <c r="A33" s="138"/>
      <c r="B33" s="138"/>
      <c r="C33" s="138"/>
      <c r="D33" s="138"/>
      <c r="E33" s="138" t="s">
        <v>29</v>
      </c>
      <c r="F33" s="142">
        <v>3385.2</v>
      </c>
      <c r="G33" s="17">
        <f t="shared" si="1"/>
        <v>5803.2</v>
      </c>
      <c r="H33" s="142">
        <v>5800</v>
      </c>
    </row>
    <row r="34" spans="1:8" x14ac:dyDescent="0.25">
      <c r="A34" s="138"/>
      <c r="B34" s="138"/>
      <c r="C34" s="138"/>
      <c r="D34" s="138"/>
      <c r="E34" s="138" t="s">
        <v>104</v>
      </c>
      <c r="F34" s="142">
        <v>191304.12</v>
      </c>
      <c r="G34" s="17">
        <f t="shared" si="1"/>
        <v>327949.92</v>
      </c>
      <c r="H34" s="142">
        <v>290000</v>
      </c>
    </row>
    <row r="35" spans="1:8" x14ac:dyDescent="0.25">
      <c r="A35" s="138"/>
      <c r="B35" s="138"/>
      <c r="C35" s="138"/>
      <c r="D35" s="138"/>
      <c r="E35" s="138" t="s">
        <v>30</v>
      </c>
      <c r="F35" s="142">
        <v>5448.79</v>
      </c>
      <c r="G35" s="17">
        <f t="shared" si="1"/>
        <v>9340.7828571428581</v>
      </c>
      <c r="H35" s="142">
        <v>5500</v>
      </c>
    </row>
    <row r="36" spans="1:8" x14ac:dyDescent="0.25">
      <c r="A36" s="138"/>
      <c r="B36" s="138"/>
      <c r="C36" s="138"/>
      <c r="D36" s="138"/>
      <c r="E36" s="138" t="s">
        <v>31</v>
      </c>
      <c r="F36" s="142">
        <v>10425.4</v>
      </c>
      <c r="G36" s="17">
        <f t="shared" si="1"/>
        <v>17872.114285714284</v>
      </c>
      <c r="H36" s="142">
        <v>14000</v>
      </c>
    </row>
    <row r="37" spans="1:8" x14ac:dyDescent="0.25">
      <c r="A37" s="138"/>
      <c r="B37" s="138"/>
      <c r="C37" s="138"/>
      <c r="D37" s="138"/>
      <c r="E37" s="138" t="s">
        <v>32</v>
      </c>
      <c r="F37" s="142">
        <v>6847.26</v>
      </c>
      <c r="G37" s="17">
        <f t="shared" si="1"/>
        <v>11738.16</v>
      </c>
      <c r="H37" s="142">
        <v>10050</v>
      </c>
    </row>
    <row r="38" spans="1:8" ht="15.75" thickBot="1" x14ac:dyDescent="0.3">
      <c r="A38" s="138"/>
      <c r="B38" s="138"/>
      <c r="C38" s="138"/>
      <c r="D38" s="138"/>
      <c r="E38" s="138" t="s">
        <v>34</v>
      </c>
      <c r="F38" s="142">
        <v>648.63</v>
      </c>
      <c r="G38" s="17">
        <f t="shared" si="1"/>
        <v>1111.9371428571428</v>
      </c>
      <c r="H38" s="142">
        <v>892</v>
      </c>
    </row>
    <row r="39" spans="1:8" ht="15.75" thickBot="1" x14ac:dyDescent="0.3">
      <c r="A39" s="138"/>
      <c r="B39" s="138"/>
      <c r="C39" s="138"/>
      <c r="D39" s="138" t="s">
        <v>105</v>
      </c>
      <c r="E39" s="138"/>
      <c r="F39" s="171">
        <f>ROUND(SUM(F20:F38),5)</f>
        <v>284378.33</v>
      </c>
      <c r="H39" s="171">
        <f>SUM(H22:H38)</f>
        <v>434992</v>
      </c>
    </row>
    <row r="40" spans="1:8" x14ac:dyDescent="0.25">
      <c r="A40" s="138"/>
      <c r="B40" s="138" t="s">
        <v>106</v>
      </c>
      <c r="C40" s="138"/>
      <c r="D40" s="138"/>
      <c r="E40" s="138"/>
      <c r="F40" s="142">
        <f>ROUND(F5+F19-F39,5)</f>
        <v>-93150.94</v>
      </c>
      <c r="H40" s="142">
        <f>ROUND(H5+H19-H39,5)</f>
        <v>-195467.76</v>
      </c>
    </row>
    <row r="41" spans="1:8" x14ac:dyDescent="0.25">
      <c r="A41" s="138"/>
      <c r="B41" s="138" t="s">
        <v>107</v>
      </c>
      <c r="C41" s="138"/>
      <c r="D41" s="138"/>
      <c r="E41" s="138"/>
      <c r="F41" s="142"/>
      <c r="G41" s="17">
        <f t="shared" si="1"/>
        <v>0</v>
      </c>
      <c r="H41" s="142"/>
    </row>
    <row r="42" spans="1:8" x14ac:dyDescent="0.25">
      <c r="A42" s="138"/>
      <c r="B42" s="138"/>
      <c r="C42" s="138" t="s">
        <v>108</v>
      </c>
      <c r="D42" s="138"/>
      <c r="E42" s="138"/>
      <c r="F42" s="142"/>
      <c r="G42" s="17">
        <f t="shared" si="1"/>
        <v>0</v>
      </c>
      <c r="H42" s="142"/>
    </row>
    <row r="43" spans="1:8" ht="15.75" thickBot="1" x14ac:dyDescent="0.3">
      <c r="A43" s="138"/>
      <c r="B43" s="138"/>
      <c r="C43" s="138"/>
      <c r="D43" s="138" t="s">
        <v>109</v>
      </c>
      <c r="E43" s="138"/>
      <c r="F43" s="142">
        <v>64903.89</v>
      </c>
      <c r="H43" s="142">
        <v>86000</v>
      </c>
    </row>
    <row r="44" spans="1:8" ht="15.75" thickBot="1" x14ac:dyDescent="0.3">
      <c r="A44" s="138"/>
      <c r="B44" s="138"/>
      <c r="C44" s="138" t="s">
        <v>110</v>
      </c>
      <c r="D44" s="138"/>
      <c r="E44" s="138"/>
      <c r="F44" s="172">
        <f>ROUND(SUM(F42:F43),5)</f>
        <v>64903.89</v>
      </c>
      <c r="H44" s="172">
        <f>SUM(H43)</f>
        <v>86000</v>
      </c>
    </row>
    <row r="45" spans="1:8" ht="15.75" thickBot="1" x14ac:dyDescent="0.3">
      <c r="A45" s="138"/>
      <c r="B45" s="138" t="s">
        <v>111</v>
      </c>
      <c r="C45" s="138"/>
      <c r="D45" s="138"/>
      <c r="E45" s="138"/>
      <c r="F45" s="172">
        <f>ROUND(F41+F44,5)</f>
        <v>64903.89</v>
      </c>
      <c r="H45" s="172">
        <f>ROUND(H41+H44,5)</f>
        <v>86000</v>
      </c>
    </row>
    <row r="46" spans="1:8" s="140" customFormat="1" ht="15.75" thickBot="1" x14ac:dyDescent="0.3">
      <c r="A46" s="138" t="s">
        <v>35</v>
      </c>
      <c r="B46" s="138"/>
      <c r="C46" s="138"/>
      <c r="D46" s="138"/>
      <c r="E46" s="138"/>
      <c r="F46" s="173">
        <f>ROUND(F40+F45,5)</f>
        <v>-28247.05</v>
      </c>
      <c r="G46" s="17"/>
      <c r="H46" s="173">
        <f>ROUND(H40+H45,5)</f>
        <v>-109467.76</v>
      </c>
    </row>
    <row r="47" spans="1:8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2B78-9C9C-4F9F-9281-4829B493C804}">
  <sheetPr codeName="Sheet5">
    <pageSetUpPr fitToPage="1"/>
  </sheetPr>
  <dimension ref="A1:M29"/>
  <sheetViews>
    <sheetView zoomScale="190" zoomScaleNormal="190" workbookViewId="0">
      <pane xSplit="3" ySplit="4" topLeftCell="D5" activePane="bottomRight" state="frozenSplit"/>
      <selection pane="topRight" activeCell="D1" sqref="D1"/>
      <selection pane="bottomLeft" activeCell="A6" sqref="A6"/>
      <selection pane="bottomRight" activeCell="E22" sqref="E22"/>
    </sheetView>
  </sheetViews>
  <sheetFormatPr defaultRowHeight="15" x14ac:dyDescent="0.25"/>
  <cols>
    <col min="1" max="2" width="3" style="11" customWidth="1"/>
    <col min="3" max="3" width="33" style="11" customWidth="1"/>
    <col min="4" max="4" width="1.28515625" customWidth="1"/>
    <col min="5" max="5" width="13.7109375" bestFit="1" customWidth="1"/>
    <col min="6" max="6" width="1.140625" customWidth="1"/>
    <col min="7" max="7" width="9" bestFit="1" customWidth="1"/>
    <col min="8" max="8" width="1" customWidth="1"/>
    <col min="9" max="9" width="12.140625" customWidth="1"/>
    <col min="12" max="12" width="11.5703125" bestFit="1" customWidth="1"/>
  </cols>
  <sheetData>
    <row r="1" spans="1:9" ht="15.75" x14ac:dyDescent="0.25">
      <c r="A1" s="3" t="s">
        <v>0</v>
      </c>
      <c r="B1" s="2"/>
      <c r="C1" s="2"/>
      <c r="D1" s="1"/>
      <c r="E1" s="1"/>
    </row>
    <row r="2" spans="1:9" ht="18" x14ac:dyDescent="0.25">
      <c r="A2" s="4" t="s">
        <v>45</v>
      </c>
      <c r="B2" s="2"/>
      <c r="C2" s="2"/>
      <c r="D2" s="1"/>
      <c r="E2" s="1"/>
    </row>
    <row r="3" spans="1:9" ht="15.75" thickBot="1" x14ac:dyDescent="0.3">
      <c r="A3" s="2"/>
      <c r="B3" s="2"/>
      <c r="C3" s="2"/>
      <c r="D3" s="5"/>
      <c r="E3" s="6"/>
    </row>
    <row r="4" spans="1:9" s="15" customFormat="1" ht="16.5" thickTop="1" thickBot="1" x14ac:dyDescent="0.3">
      <c r="A4" s="12"/>
      <c r="B4" s="12"/>
      <c r="C4" s="12"/>
      <c r="D4" s="14"/>
      <c r="E4" s="165" t="s">
        <v>83</v>
      </c>
      <c r="F4" s="160"/>
      <c r="G4" s="165" t="s">
        <v>84</v>
      </c>
      <c r="I4" s="61" t="s">
        <v>89</v>
      </c>
    </row>
    <row r="5" spans="1:9" ht="15.75" thickTop="1" x14ac:dyDescent="0.25">
      <c r="A5" s="2"/>
      <c r="B5" s="2" t="s">
        <v>46</v>
      </c>
      <c r="C5" s="2"/>
      <c r="D5" s="8"/>
      <c r="E5" s="74"/>
      <c r="F5" s="122"/>
      <c r="G5" s="122"/>
    </row>
    <row r="6" spans="1:9" x14ac:dyDescent="0.25">
      <c r="A6" s="2"/>
      <c r="B6" s="2"/>
      <c r="C6" s="2" t="s">
        <v>194</v>
      </c>
      <c r="D6" s="8"/>
      <c r="E6" s="45">
        <v>0</v>
      </c>
      <c r="F6" s="122"/>
      <c r="G6" s="74">
        <v>65000</v>
      </c>
      <c r="I6" s="62">
        <f>G6/2+3000</f>
        <v>35500</v>
      </c>
    </row>
    <row r="7" spans="1:9" x14ac:dyDescent="0.25">
      <c r="A7" s="2"/>
      <c r="B7" s="2"/>
      <c r="C7" s="2" t="s">
        <v>195</v>
      </c>
      <c r="D7" s="8"/>
      <c r="E7" s="45">
        <v>0</v>
      </c>
      <c r="F7" s="122"/>
      <c r="G7" s="74">
        <v>59000</v>
      </c>
      <c r="I7" s="62">
        <f>G7/2</f>
        <v>29500</v>
      </c>
    </row>
    <row r="8" spans="1:9" x14ac:dyDescent="0.25">
      <c r="A8" s="2"/>
      <c r="B8" s="2"/>
      <c r="C8" s="2" t="s">
        <v>196</v>
      </c>
      <c r="D8" s="8"/>
      <c r="E8" s="45">
        <v>6000</v>
      </c>
      <c r="F8" s="122"/>
      <c r="G8" s="74">
        <v>20000</v>
      </c>
      <c r="I8" s="62">
        <f t="shared" ref="I8:I16" si="0">G8/2</f>
        <v>10000</v>
      </c>
    </row>
    <row r="9" spans="1:9" x14ac:dyDescent="0.25">
      <c r="A9" s="2"/>
      <c r="B9" s="2"/>
      <c r="C9" s="2" t="s">
        <v>197</v>
      </c>
      <c r="D9" s="8"/>
      <c r="E9" s="45">
        <v>0</v>
      </c>
      <c r="F9" s="122"/>
      <c r="G9" s="74">
        <v>10000</v>
      </c>
      <c r="I9" s="62">
        <f t="shared" si="0"/>
        <v>5000</v>
      </c>
    </row>
    <row r="10" spans="1:9" x14ac:dyDescent="0.25">
      <c r="A10" s="2"/>
      <c r="B10" s="2"/>
      <c r="C10" s="2" t="s">
        <v>198</v>
      </c>
      <c r="D10" s="8"/>
      <c r="E10" s="45">
        <v>2000</v>
      </c>
      <c r="F10" s="122"/>
      <c r="G10" s="74">
        <v>8000</v>
      </c>
      <c r="I10" s="62">
        <f t="shared" si="0"/>
        <v>4000</v>
      </c>
    </row>
    <row r="11" spans="1:9" x14ac:dyDescent="0.25">
      <c r="A11" s="2"/>
      <c r="B11" s="2"/>
      <c r="C11" s="2" t="s">
        <v>199</v>
      </c>
      <c r="D11" s="8"/>
      <c r="E11" s="45">
        <v>10000</v>
      </c>
      <c r="F11" s="122"/>
      <c r="G11" s="74">
        <v>15000</v>
      </c>
      <c r="I11" s="62">
        <f t="shared" si="0"/>
        <v>7500</v>
      </c>
    </row>
    <row r="12" spans="1:9" x14ac:dyDescent="0.25">
      <c r="A12" s="2"/>
      <c r="B12" s="2"/>
      <c r="C12" s="2" t="s">
        <v>200</v>
      </c>
      <c r="D12" s="8"/>
      <c r="E12" s="45">
        <v>1000</v>
      </c>
      <c r="F12" s="122"/>
      <c r="G12" s="74">
        <v>2000</v>
      </c>
      <c r="I12" s="62">
        <f t="shared" si="0"/>
        <v>1000</v>
      </c>
    </row>
    <row r="13" spans="1:9" x14ac:dyDescent="0.25">
      <c r="A13" s="2"/>
      <c r="B13" s="2"/>
      <c r="C13" s="2" t="s">
        <v>201</v>
      </c>
      <c r="D13" s="8"/>
      <c r="E13" s="45">
        <v>0</v>
      </c>
      <c r="F13" s="122"/>
      <c r="G13" s="74">
        <v>12000</v>
      </c>
      <c r="I13" s="62">
        <f t="shared" si="0"/>
        <v>6000</v>
      </c>
    </row>
    <row r="14" spans="1:9" x14ac:dyDescent="0.25">
      <c r="A14" s="2"/>
      <c r="B14" s="2"/>
      <c r="C14" s="2" t="s">
        <v>202</v>
      </c>
      <c r="D14" s="8"/>
      <c r="E14" s="45">
        <v>0</v>
      </c>
      <c r="F14" s="122"/>
      <c r="G14" s="74">
        <v>40000</v>
      </c>
      <c r="I14" s="62">
        <f t="shared" si="0"/>
        <v>20000</v>
      </c>
    </row>
    <row r="15" spans="1:9" x14ac:dyDescent="0.25">
      <c r="A15" s="2"/>
      <c r="B15" s="2"/>
      <c r="C15" s="2" t="s">
        <v>203</v>
      </c>
      <c r="D15" s="8"/>
      <c r="E15" s="45">
        <v>0</v>
      </c>
      <c r="F15" s="122"/>
      <c r="G15" s="74">
        <v>3000</v>
      </c>
      <c r="I15" s="62">
        <f t="shared" si="0"/>
        <v>1500</v>
      </c>
    </row>
    <row r="16" spans="1:9" x14ac:dyDescent="0.25">
      <c r="A16" s="2"/>
      <c r="B16" s="2"/>
      <c r="C16" s="2" t="s">
        <v>204</v>
      </c>
      <c r="D16" s="8"/>
      <c r="E16" s="45">
        <v>0</v>
      </c>
      <c r="F16" s="122"/>
      <c r="G16" s="74">
        <v>30000</v>
      </c>
      <c r="I16" s="62">
        <f t="shared" si="0"/>
        <v>15000</v>
      </c>
    </row>
    <row r="17" spans="1:13" ht="15.75" thickBot="1" x14ac:dyDescent="0.3">
      <c r="A17" s="2"/>
      <c r="B17" s="2"/>
      <c r="C17" s="2" t="s">
        <v>205</v>
      </c>
      <c r="D17" s="8"/>
      <c r="E17" s="45">
        <v>1000</v>
      </c>
      <c r="F17" s="122"/>
      <c r="G17" s="74">
        <v>4000</v>
      </c>
      <c r="I17" s="62">
        <v>5000</v>
      </c>
    </row>
    <row r="18" spans="1:13" ht="15.75" thickBot="1" x14ac:dyDescent="0.3">
      <c r="A18" s="2"/>
      <c r="B18" s="2" t="s">
        <v>47</v>
      </c>
      <c r="C18" s="2"/>
      <c r="D18" s="8"/>
      <c r="E18" s="162">
        <f>ROUND(SUM(E5:E17),5)</f>
        <v>20000</v>
      </c>
      <c r="F18" s="122"/>
      <c r="G18" s="180">
        <f>ROUND(SUM(G5:G17),5)</f>
        <v>268000</v>
      </c>
      <c r="I18" s="179">
        <f>ROUND(SUM(I5:I17),5)</f>
        <v>140000</v>
      </c>
      <c r="L18" s="175"/>
      <c r="M18" s="176"/>
    </row>
    <row r="19" spans="1:13" s="11" customFormat="1" ht="15.75" thickTop="1" x14ac:dyDescent="0.25">
      <c r="A19" s="2" t="s">
        <v>41</v>
      </c>
      <c r="B19" s="2"/>
      <c r="C19" s="2"/>
      <c r="D19" s="2"/>
      <c r="E19" s="166"/>
      <c r="F19" s="164"/>
      <c r="G19" s="164"/>
      <c r="L19" s="177"/>
      <c r="M19" s="178"/>
    </row>
    <row r="20" spans="1:13" x14ac:dyDescent="0.25">
      <c r="E20" s="167"/>
      <c r="F20" s="122"/>
      <c r="G20" s="122"/>
      <c r="L20" s="177"/>
      <c r="M20" s="176"/>
    </row>
    <row r="21" spans="1:13" x14ac:dyDescent="0.25">
      <c r="E21" s="122"/>
      <c r="F21" s="122"/>
      <c r="G21" s="122"/>
      <c r="L21" s="17"/>
    </row>
    <row r="22" spans="1:13" x14ac:dyDescent="0.25">
      <c r="L22" s="17"/>
    </row>
    <row r="23" spans="1:13" x14ac:dyDescent="0.25">
      <c r="L23" s="17"/>
    </row>
    <row r="24" spans="1:13" x14ac:dyDescent="0.25">
      <c r="L24" s="17"/>
    </row>
    <row r="25" spans="1:13" x14ac:dyDescent="0.25">
      <c r="L25" s="17"/>
    </row>
    <row r="26" spans="1:13" x14ac:dyDescent="0.25">
      <c r="L26" s="17"/>
    </row>
    <row r="27" spans="1:13" x14ac:dyDescent="0.25">
      <c r="L27" s="17"/>
    </row>
    <row r="28" spans="1:13" x14ac:dyDescent="0.25">
      <c r="L28" s="17"/>
    </row>
    <row r="29" spans="1:13" x14ac:dyDescent="0.25">
      <c r="L29" s="17"/>
    </row>
  </sheetData>
  <pageMargins left="0.70866141732283505" right="0.70866141732283505" top="0.74803149606299202" bottom="0.74803149606299202" header="0.118110236220472" footer="0.31496062992126"/>
  <pageSetup fitToWidth="0" orientation="landscape" horizontalDpi="4294967293" verticalDpi="4294967293" r:id="rId1"/>
  <headerFooter>
    <oddFooter>&amp;R&amp;"Arial,Bold"&amp;8 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B66E-A6E9-4285-8DB3-BD68A2F60FF2}">
  <sheetPr codeName="Sheet3">
    <pageSetUpPr fitToPage="1"/>
  </sheetPr>
  <dimension ref="A1:P31"/>
  <sheetViews>
    <sheetView zoomScale="244" zoomScaleNormal="244" workbookViewId="0">
      <pane xSplit="3" ySplit="4" topLeftCell="D9" activePane="bottomRight" state="frozenSplit"/>
      <selection pane="topRight" activeCell="D1" sqref="D1"/>
      <selection pane="bottomLeft" activeCell="A6" sqref="A6"/>
      <selection pane="bottomRight" activeCell="C18" sqref="C18"/>
    </sheetView>
  </sheetViews>
  <sheetFormatPr defaultRowHeight="15" outlineLevelCol="1" x14ac:dyDescent="0.25"/>
  <cols>
    <col min="1" max="2" width="3" style="11" customWidth="1"/>
    <col min="3" max="3" width="30.85546875" style="11" customWidth="1"/>
    <col min="4" max="4" width="11.140625" style="122" customWidth="1"/>
    <col min="5" max="5" width="1.140625" style="122" customWidth="1"/>
    <col min="6" max="6" width="11.140625" style="122" customWidth="1"/>
    <col min="7" max="7" width="11.5703125" style="122" hidden="1" customWidth="1" outlineLevel="1"/>
    <col min="8" max="8" width="1.28515625" style="122" customWidth="1" collapsed="1"/>
    <col min="9" max="9" width="11.5703125" bestFit="1" customWidth="1"/>
  </cols>
  <sheetData>
    <row r="1" spans="1:9" ht="15.75" x14ac:dyDescent="0.25">
      <c r="A1" s="3" t="s">
        <v>0</v>
      </c>
      <c r="B1" s="2"/>
      <c r="C1" s="2"/>
    </row>
    <row r="2" spans="1:9" ht="18" x14ac:dyDescent="0.25">
      <c r="A2" s="4" t="s">
        <v>37</v>
      </c>
      <c r="B2" s="2"/>
      <c r="C2" s="2"/>
    </row>
    <row r="3" spans="1:9" ht="15.75" thickBot="1" x14ac:dyDescent="0.3">
      <c r="A3" s="2"/>
      <c r="B3" s="2"/>
      <c r="C3" s="2"/>
    </row>
    <row r="4" spans="1:9" s="15" customFormat="1" ht="16.5" thickTop="1" thickBot="1" x14ac:dyDescent="0.3">
      <c r="A4" s="12"/>
      <c r="B4" s="12"/>
      <c r="C4" s="12"/>
      <c r="D4" s="158" t="s">
        <v>83</v>
      </c>
      <c r="E4" s="160"/>
      <c r="F4" s="158" t="s">
        <v>84</v>
      </c>
      <c r="G4" s="160"/>
      <c r="H4" s="160"/>
      <c r="I4" s="65" t="s">
        <v>89</v>
      </c>
    </row>
    <row r="5" spans="1:9" ht="15.75" thickTop="1" x14ac:dyDescent="0.25">
      <c r="A5" s="2"/>
      <c r="B5" s="2" t="s">
        <v>39</v>
      </c>
      <c r="C5" s="2"/>
      <c r="D5" s="74"/>
      <c r="F5" s="74"/>
    </row>
    <row r="6" spans="1:9" x14ac:dyDescent="0.25">
      <c r="A6" s="2"/>
      <c r="B6" s="2"/>
      <c r="C6" s="2" t="s">
        <v>179</v>
      </c>
      <c r="D6" s="45">
        <v>18200</v>
      </c>
      <c r="F6" s="45">
        <v>16500</v>
      </c>
      <c r="G6" s="45">
        <v>16000</v>
      </c>
      <c r="I6" s="66">
        <f>27000+15000</f>
        <v>42000</v>
      </c>
    </row>
    <row r="7" spans="1:9" x14ac:dyDescent="0.25">
      <c r="A7" s="2"/>
      <c r="B7" s="2"/>
      <c r="C7" s="2" t="s">
        <v>180</v>
      </c>
      <c r="D7" s="45">
        <v>6000</v>
      </c>
      <c r="F7" s="45">
        <v>6000</v>
      </c>
      <c r="G7" s="45">
        <v>6000</v>
      </c>
      <c r="I7" s="66">
        <v>7000</v>
      </c>
    </row>
    <row r="8" spans="1:9" x14ac:dyDescent="0.25">
      <c r="A8" s="2"/>
      <c r="B8" s="2"/>
      <c r="C8" s="2" t="s">
        <v>181</v>
      </c>
      <c r="D8" s="45">
        <v>6000</v>
      </c>
      <c r="F8" s="45">
        <v>6000</v>
      </c>
      <c r="G8" s="45">
        <v>6000</v>
      </c>
      <c r="I8" s="66">
        <v>7000</v>
      </c>
    </row>
    <row r="9" spans="1:9" x14ac:dyDescent="0.25">
      <c r="A9" s="2"/>
      <c r="B9" s="2"/>
      <c r="C9" s="2" t="s">
        <v>182</v>
      </c>
      <c r="D9" s="45">
        <v>3500</v>
      </c>
      <c r="F9" s="45">
        <v>3500</v>
      </c>
      <c r="G9" s="45">
        <v>6000</v>
      </c>
      <c r="I9" s="66">
        <f>7000+7000</f>
        <v>14000</v>
      </c>
    </row>
    <row r="10" spans="1:9" x14ac:dyDescent="0.25">
      <c r="A10" s="2"/>
      <c r="B10" s="2"/>
      <c r="C10" s="2" t="s">
        <v>183</v>
      </c>
      <c r="D10" s="45">
        <v>6500</v>
      </c>
      <c r="F10" s="45">
        <v>6500</v>
      </c>
      <c r="G10" s="45">
        <v>6000</v>
      </c>
      <c r="I10" s="66">
        <v>7000</v>
      </c>
    </row>
    <row r="11" spans="1:9" x14ac:dyDescent="0.25">
      <c r="A11" s="2"/>
      <c r="B11" s="2"/>
      <c r="C11" s="2" t="s">
        <v>184</v>
      </c>
      <c r="D11" s="45">
        <v>6500</v>
      </c>
      <c r="F11" s="45">
        <v>6500</v>
      </c>
      <c r="G11" s="45">
        <v>6000</v>
      </c>
      <c r="I11" s="66">
        <v>7000</v>
      </c>
    </row>
    <row r="12" spans="1:9" x14ac:dyDescent="0.25">
      <c r="A12" s="2"/>
      <c r="B12" s="2"/>
      <c r="C12" s="2" t="s">
        <v>185</v>
      </c>
      <c r="D12" s="45">
        <v>6000</v>
      </c>
      <c r="F12" s="45">
        <v>6000</v>
      </c>
      <c r="G12" s="45">
        <v>6000</v>
      </c>
      <c r="I12" s="66">
        <v>7000</v>
      </c>
    </row>
    <row r="13" spans="1:9" x14ac:dyDescent="0.25">
      <c r="A13" s="2"/>
      <c r="B13" s="2"/>
      <c r="C13" s="2" t="s">
        <v>186</v>
      </c>
      <c r="D13" s="45">
        <v>5000</v>
      </c>
      <c r="F13" s="45">
        <v>5000</v>
      </c>
      <c r="G13" s="45">
        <v>6000</v>
      </c>
      <c r="I13" s="66">
        <v>7000</v>
      </c>
    </row>
    <row r="14" spans="1:9" x14ac:dyDescent="0.25">
      <c r="A14" s="2"/>
      <c r="B14" s="2"/>
      <c r="C14" s="2" t="s">
        <v>187</v>
      </c>
      <c r="D14" s="45">
        <v>7000</v>
      </c>
      <c r="F14" s="45">
        <v>7000</v>
      </c>
      <c r="G14" s="45">
        <v>6000</v>
      </c>
      <c r="I14" s="66">
        <v>7000</v>
      </c>
    </row>
    <row r="15" spans="1:9" x14ac:dyDescent="0.25">
      <c r="A15" s="2"/>
      <c r="B15" s="2"/>
      <c r="C15" s="2" t="s">
        <v>188</v>
      </c>
      <c r="D15" s="45">
        <v>6000</v>
      </c>
      <c r="F15" s="45">
        <v>6000</v>
      </c>
      <c r="G15" s="45">
        <v>6000</v>
      </c>
      <c r="I15" s="66">
        <v>7000</v>
      </c>
    </row>
    <row r="16" spans="1:9" x14ac:dyDescent="0.25">
      <c r="A16" s="2"/>
      <c r="B16" s="2"/>
      <c r="C16" s="2" t="s">
        <v>189</v>
      </c>
      <c r="D16" s="45">
        <v>4000</v>
      </c>
      <c r="F16" s="45">
        <v>4000</v>
      </c>
      <c r="G16" s="45">
        <v>6000</v>
      </c>
      <c r="I16" s="66">
        <v>10000</v>
      </c>
    </row>
    <row r="17" spans="1:10" x14ac:dyDescent="0.25">
      <c r="A17" s="2"/>
      <c r="B17" s="2"/>
      <c r="C17" s="2" t="s">
        <v>190</v>
      </c>
      <c r="D17" s="45">
        <v>7000</v>
      </c>
      <c r="F17" s="45">
        <v>7000</v>
      </c>
      <c r="G17" s="45">
        <v>6000</v>
      </c>
      <c r="I17" s="66">
        <v>7000</v>
      </c>
    </row>
    <row r="18" spans="1:10" x14ac:dyDescent="0.25">
      <c r="A18" s="2"/>
      <c r="B18" s="2"/>
      <c r="C18" s="2" t="s">
        <v>191</v>
      </c>
      <c r="D18" s="45">
        <v>7000</v>
      </c>
      <c r="F18" s="45">
        <v>7000</v>
      </c>
      <c r="G18" s="45">
        <v>6000</v>
      </c>
      <c r="I18" s="66">
        <v>7000</v>
      </c>
    </row>
    <row r="19" spans="1:10" x14ac:dyDescent="0.25">
      <c r="A19" s="2"/>
      <c r="B19" s="2"/>
      <c r="C19" s="2" t="s">
        <v>192</v>
      </c>
      <c r="D19" s="45">
        <v>6000</v>
      </c>
      <c r="F19" s="45">
        <v>6000</v>
      </c>
      <c r="G19" s="45">
        <v>6000</v>
      </c>
      <c r="I19" s="66">
        <v>7000</v>
      </c>
    </row>
    <row r="20" spans="1:10" x14ac:dyDescent="0.25">
      <c r="A20" s="2"/>
      <c r="B20" s="2"/>
      <c r="C20" s="2" t="s">
        <v>193</v>
      </c>
      <c r="D20" s="45">
        <v>7000</v>
      </c>
      <c r="F20" s="45">
        <v>7000</v>
      </c>
      <c r="G20" s="45">
        <v>6000</v>
      </c>
      <c r="I20" s="66">
        <v>7000</v>
      </c>
    </row>
    <row r="21" spans="1:10" ht="15.75" thickBot="1" x14ac:dyDescent="0.3">
      <c r="A21" s="2"/>
      <c r="B21" s="2" t="s">
        <v>40</v>
      </c>
      <c r="C21" s="2"/>
      <c r="D21" s="183">
        <f>SUM(D6:D20)</f>
        <v>101700</v>
      </c>
      <c r="F21" s="183">
        <f>SUM(F6:F20)</f>
        <v>100000</v>
      </c>
      <c r="G21" s="45">
        <f>SUM(G6:G20)</f>
        <v>100000</v>
      </c>
      <c r="I21" s="184">
        <f>SUM(I6:I20)</f>
        <v>150000</v>
      </c>
      <c r="J21" t="s">
        <v>174</v>
      </c>
    </row>
    <row r="22" spans="1:10" s="11" customFormat="1" ht="11.25" x14ac:dyDescent="0.2">
      <c r="A22" s="2" t="s">
        <v>41</v>
      </c>
      <c r="B22" s="2"/>
      <c r="C22" s="2"/>
      <c r="D22" s="181"/>
      <c r="E22" s="182"/>
      <c r="F22" s="181"/>
      <c r="G22" s="164"/>
      <c r="H22" s="164"/>
    </row>
    <row r="24" spans="1:10" x14ac:dyDescent="0.25">
      <c r="C24" s="178"/>
    </row>
    <row r="25" spans="1:10" x14ac:dyDescent="0.25">
      <c r="C25" s="178"/>
    </row>
    <row r="26" spans="1:10" x14ac:dyDescent="0.25">
      <c r="C26" s="178"/>
    </row>
    <row r="27" spans="1:10" x14ac:dyDescent="0.25">
      <c r="C27" s="178"/>
    </row>
    <row r="28" spans="1:10" x14ac:dyDescent="0.25">
      <c r="C28" s="178"/>
    </row>
    <row r="29" spans="1:10" x14ac:dyDescent="0.25">
      <c r="C29" s="178"/>
    </row>
    <row r="30" spans="1:10" x14ac:dyDescent="0.25">
      <c r="C30" s="178"/>
    </row>
    <row r="31" spans="1:10" x14ac:dyDescent="0.25">
      <c r="C31" s="178"/>
    </row>
  </sheetData>
  <pageMargins left="0.70866141732283505" right="0.70866141732283505" top="0.74803149606299202" bottom="0.74803149606299202" header="0.118110236220472" footer="0.31496062992126"/>
  <pageSetup scale="97" fitToWidth="0" orientation="landscape" horizontalDpi="4294967293" verticalDpi="4294967293" r:id="rId1"/>
  <headerFooter>
    <oddFooter>&amp;R&amp;"Arial,Bold"&amp;8 Page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848D-A32C-44E6-9EDD-323686D70E70}">
  <sheetPr codeName="Sheet4"/>
  <dimension ref="A1:Q13"/>
  <sheetViews>
    <sheetView zoomScale="130" zoomScaleNormal="130" workbookViewId="0">
      <pane xSplit="3" ySplit="4" topLeftCell="L5" activePane="bottomRight" state="frozenSplit"/>
      <selection pane="topRight" activeCell="D1" sqref="D1"/>
      <selection pane="bottomLeft" activeCell="A6" sqref="A6"/>
      <selection pane="bottomRight" activeCell="N25" sqref="N25"/>
    </sheetView>
  </sheetViews>
  <sheetFormatPr defaultRowHeight="15" x14ac:dyDescent="0.25"/>
  <cols>
    <col min="1" max="2" width="3" style="11" customWidth="1"/>
    <col min="3" max="3" width="33.5703125" style="11" customWidth="1"/>
    <col min="4" max="4" width="12.5703125" style="11" customWidth="1"/>
    <col min="5" max="5" width="13.7109375" bestFit="1" customWidth="1"/>
    <col min="6" max="6" width="1.140625" customWidth="1"/>
    <col min="7" max="7" width="9.5703125" bestFit="1" customWidth="1"/>
    <col min="8" max="8" width="1.42578125" customWidth="1"/>
    <col min="9" max="9" width="12" bestFit="1" customWidth="1"/>
    <col min="10" max="10" width="2.28515625" customWidth="1"/>
    <col min="11" max="11" width="13.7109375" bestFit="1" customWidth="1"/>
    <col min="12" max="12" width="2.28515625" customWidth="1"/>
    <col min="13" max="13" width="13.7109375" style="122" bestFit="1" customWidth="1"/>
    <col min="14" max="14" width="2.28515625" style="122" customWidth="1"/>
    <col min="15" max="15" width="13.7109375" style="122" bestFit="1" customWidth="1"/>
    <col min="16" max="16" width="2" customWidth="1"/>
    <col min="17" max="17" width="10.42578125" bestFit="1" customWidth="1"/>
  </cols>
  <sheetData>
    <row r="1" spans="1:17" ht="15.75" x14ac:dyDescent="0.25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55"/>
      <c r="N1" s="155"/>
      <c r="O1" s="155"/>
    </row>
    <row r="2" spans="1:17" ht="18" x14ac:dyDescent="0.25">
      <c r="A2" s="4" t="s">
        <v>42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55"/>
      <c r="N2" s="155"/>
      <c r="O2" s="155"/>
    </row>
    <row r="3" spans="1:17" ht="15.75" thickBot="1" x14ac:dyDescent="0.3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  <c r="M3" s="156"/>
      <c r="N3" s="157"/>
      <c r="O3" s="156"/>
    </row>
    <row r="4" spans="1:17" s="15" customFormat="1" ht="24.75" thickTop="1" thickBot="1" x14ac:dyDescent="0.3">
      <c r="A4" s="12"/>
      <c r="B4" s="12"/>
      <c r="C4" s="12"/>
      <c r="D4" s="16" t="s">
        <v>69</v>
      </c>
      <c r="E4" s="16" t="s">
        <v>82</v>
      </c>
      <c r="F4" s="14"/>
      <c r="G4" s="13" t="s">
        <v>48</v>
      </c>
      <c r="H4" s="14"/>
      <c r="I4" s="13" t="s">
        <v>38</v>
      </c>
      <c r="J4" s="14"/>
      <c r="K4" s="61" t="s">
        <v>61</v>
      </c>
      <c r="L4" s="14"/>
      <c r="M4" s="165" t="s">
        <v>83</v>
      </c>
      <c r="N4" s="159"/>
      <c r="O4" s="165" t="s">
        <v>84</v>
      </c>
      <c r="Q4" s="61" t="s">
        <v>89</v>
      </c>
    </row>
    <row r="5" spans="1:17" ht="15.75" thickTop="1" x14ac:dyDescent="0.25">
      <c r="A5" s="2"/>
      <c r="B5" s="2" t="s">
        <v>43</v>
      </c>
      <c r="C5" s="2"/>
      <c r="D5" s="2"/>
      <c r="E5" s="7"/>
      <c r="F5" s="8"/>
      <c r="G5" s="7"/>
      <c r="H5" s="8"/>
      <c r="I5" s="7"/>
      <c r="J5" s="8"/>
      <c r="K5" s="62"/>
      <c r="L5" s="8"/>
      <c r="M5" s="74"/>
      <c r="N5" s="161"/>
      <c r="O5" s="74"/>
    </row>
    <row r="6" spans="1:17" x14ac:dyDescent="0.25">
      <c r="A6" s="2"/>
      <c r="B6" s="2"/>
      <c r="C6" s="2" t="s">
        <v>62</v>
      </c>
      <c r="D6" s="18">
        <v>21500</v>
      </c>
      <c r="E6" s="18">
        <v>25000</v>
      </c>
      <c r="F6" s="8"/>
      <c r="G6" s="18">
        <v>20000</v>
      </c>
      <c r="H6" s="8"/>
      <c r="I6" s="7">
        <f>ROUND((E6-G6),5)</f>
        <v>5000</v>
      </c>
      <c r="J6" s="8"/>
      <c r="K6" s="62">
        <v>-25000</v>
      </c>
      <c r="L6" s="8"/>
      <c r="M6" s="74">
        <v>0</v>
      </c>
      <c r="N6" s="161"/>
      <c r="O6" s="74">
        <v>-25000</v>
      </c>
      <c r="Q6" s="62">
        <v>-25000</v>
      </c>
    </row>
    <row r="7" spans="1:17" x14ac:dyDescent="0.25">
      <c r="A7" s="2"/>
      <c r="B7" s="2"/>
      <c r="C7" s="2" t="s">
        <v>63</v>
      </c>
      <c r="D7" s="18">
        <v>-22500</v>
      </c>
      <c r="E7" s="18">
        <v>-27750</v>
      </c>
      <c r="F7" s="8"/>
      <c r="G7" s="18">
        <v>-24000</v>
      </c>
      <c r="H7" s="8"/>
      <c r="I7" s="7">
        <f t="shared" ref="I7:I12" si="0">ROUND((E7-G7),5)</f>
        <v>-3750</v>
      </c>
      <c r="J7" s="8"/>
      <c r="K7" s="62">
        <v>25000</v>
      </c>
      <c r="L7" s="8"/>
      <c r="M7" s="74">
        <v>0</v>
      </c>
      <c r="N7" s="161"/>
      <c r="O7" s="74">
        <v>25000</v>
      </c>
      <c r="Q7" s="62">
        <v>25000</v>
      </c>
    </row>
    <row r="8" spans="1:17" x14ac:dyDescent="0.25">
      <c r="A8" s="2"/>
      <c r="B8" s="2"/>
      <c r="C8" s="2" t="s">
        <v>64</v>
      </c>
      <c r="D8" s="18">
        <v>-17096.919999999998</v>
      </c>
      <c r="E8" s="18">
        <v>-14856.85</v>
      </c>
      <c r="F8" s="8"/>
      <c r="G8" s="18">
        <v>-19000</v>
      </c>
      <c r="H8" s="8"/>
      <c r="I8" s="7">
        <f t="shared" si="0"/>
        <v>4143.1499999999996</v>
      </c>
      <c r="J8" s="8"/>
      <c r="K8" s="62">
        <v>16000</v>
      </c>
      <c r="L8" s="8"/>
      <c r="M8" s="74">
        <v>1000</v>
      </c>
      <c r="N8" s="161"/>
      <c r="O8" s="74">
        <v>16000</v>
      </c>
      <c r="Q8" s="62">
        <v>16000</v>
      </c>
    </row>
    <row r="9" spans="1:17" x14ac:dyDescent="0.25">
      <c r="A9" s="2"/>
      <c r="B9" s="2"/>
      <c r="C9" s="2" t="s">
        <v>65</v>
      </c>
      <c r="D9" s="18">
        <v>-12499.23</v>
      </c>
      <c r="E9" s="18">
        <v>-20270.400000000001</v>
      </c>
      <c r="F9" s="8"/>
      <c r="G9" s="18">
        <v>-15000</v>
      </c>
      <c r="H9" s="8"/>
      <c r="I9" s="7">
        <f t="shared" si="0"/>
        <v>-5270.4</v>
      </c>
      <c r="J9" s="8"/>
      <c r="K9" s="62">
        <v>35000</v>
      </c>
      <c r="L9" s="8"/>
      <c r="M9" s="74">
        <v>0</v>
      </c>
      <c r="N9" s="161"/>
      <c r="O9" s="74">
        <v>39000</v>
      </c>
      <c r="Q9" s="62">
        <v>34000</v>
      </c>
    </row>
    <row r="10" spans="1:17" ht="15.75" thickBot="1" x14ac:dyDescent="0.3">
      <c r="A10" s="2"/>
      <c r="B10" s="2"/>
      <c r="C10" s="2" t="s">
        <v>66</v>
      </c>
      <c r="D10" s="18">
        <v>-30850.81</v>
      </c>
      <c r="E10" s="18">
        <v>-35865.089999999997</v>
      </c>
      <c r="F10" s="8"/>
      <c r="G10" s="18">
        <v>-35000</v>
      </c>
      <c r="H10" s="8"/>
      <c r="I10" s="7">
        <f t="shared" si="0"/>
        <v>-865.09</v>
      </c>
      <c r="J10" s="8"/>
      <c r="K10" s="62">
        <v>15000</v>
      </c>
      <c r="L10" s="8"/>
      <c r="M10" s="74">
        <v>0</v>
      </c>
      <c r="N10" s="161"/>
      <c r="O10" s="74">
        <v>15000</v>
      </c>
      <c r="Q10" s="62">
        <v>10000</v>
      </c>
    </row>
    <row r="11" spans="1:17" ht="15.75" thickBot="1" x14ac:dyDescent="0.3">
      <c r="A11" s="2"/>
      <c r="B11" s="2" t="s">
        <v>44</v>
      </c>
      <c r="C11" s="2"/>
      <c r="D11" s="9">
        <f>ROUND(SUM(D5:D10),5)</f>
        <v>-61446.96</v>
      </c>
      <c r="E11" s="9">
        <f>ROUND(SUM(E5:E10),5)</f>
        <v>-73742.34</v>
      </c>
      <c r="F11" s="8"/>
      <c r="G11" s="9">
        <f>ROUND(SUM(G5:G10),5)</f>
        <v>-73000</v>
      </c>
      <c r="H11" s="8"/>
      <c r="I11" s="9">
        <f t="shared" si="0"/>
        <v>-742.34</v>
      </c>
      <c r="J11" s="8"/>
      <c r="K11" s="63">
        <f>ROUND(SUM(K5:K10),5)</f>
        <v>66000</v>
      </c>
      <c r="L11" s="8"/>
      <c r="M11" s="162">
        <f>ROUND(SUM(M5:M10),5)</f>
        <v>1000</v>
      </c>
      <c r="N11" s="161"/>
      <c r="O11" s="162">
        <f>ROUND(SUM(O5:O10),5)</f>
        <v>70000</v>
      </c>
      <c r="Q11" s="128">
        <f>ROUND(SUM(Q5:Q10),5)</f>
        <v>60000</v>
      </c>
    </row>
    <row r="12" spans="1:17" s="11" customFormat="1" ht="12" thickBot="1" x14ac:dyDescent="0.25">
      <c r="A12" s="2" t="s">
        <v>41</v>
      </c>
      <c r="B12" s="2"/>
      <c r="C12" s="2"/>
      <c r="D12" s="10">
        <f>D11</f>
        <v>-61446.96</v>
      </c>
      <c r="E12" s="10">
        <f>E11</f>
        <v>-73742.34</v>
      </c>
      <c r="F12" s="2"/>
      <c r="G12" s="10">
        <f>G11</f>
        <v>-73000</v>
      </c>
      <c r="H12" s="2"/>
      <c r="I12" s="10">
        <f t="shared" si="0"/>
        <v>-742.34</v>
      </c>
      <c r="J12" s="2"/>
      <c r="K12" s="64">
        <f>K11</f>
        <v>66000</v>
      </c>
      <c r="L12" s="2"/>
      <c r="M12" s="166"/>
      <c r="N12" s="163"/>
      <c r="O12" s="166"/>
    </row>
    <row r="13" spans="1:17" ht="15.75" thickTop="1" x14ac:dyDescent="0.25">
      <c r="M13" s="167"/>
      <c r="N13" s="167"/>
      <c r="O13" s="167"/>
    </row>
  </sheetData>
  <pageMargins left="0.70866141732283505" right="0.70866141732283505" top="0.74803149606299202" bottom="0.74803149606299202" header="0.118110236220472" footer="0.31496062992126"/>
  <pageSetup scale="85" orientation="landscape" horizontalDpi="4294967293" verticalDpi="4294967293" r:id="rId1"/>
  <headerFoot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2021 revised</vt:lpstr>
      <vt:lpstr>Budget Calcautions</vt:lpstr>
      <vt:lpstr>projected actual 2021</vt:lpstr>
      <vt:lpstr>Provincial</vt:lpstr>
      <vt:lpstr>Regional</vt:lpstr>
      <vt:lpstr>National</vt:lpstr>
      <vt:lpstr>'2021 revised'!Print_Area</vt:lpstr>
      <vt:lpstr>'2021 revised'!Print_Titles</vt:lpstr>
      <vt:lpstr>National!Print_Titles</vt:lpstr>
      <vt:lpstr>Provincial!Print_Titles</vt:lpstr>
      <vt:lpstr>Regional!Print_Titles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Steckler</dc:creator>
  <cp:lastModifiedBy>Mona Soleimani</cp:lastModifiedBy>
  <cp:lastPrinted>2019-09-17T05:09:01Z</cp:lastPrinted>
  <dcterms:created xsi:type="dcterms:W3CDTF">2018-10-24T18:47:12Z</dcterms:created>
  <dcterms:modified xsi:type="dcterms:W3CDTF">2021-05-18T20:22:03Z</dcterms:modified>
</cp:coreProperties>
</file>