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aine3/Documents/Bookkeeping/"/>
    </mc:Choice>
  </mc:AlternateContent>
  <xr:revisionPtr revIDLastSave="0" documentId="8_{826C761C-C6F5-D64F-A93A-AA27E27010A8}" xr6:coauthVersionLast="45" xr6:coauthVersionMax="45" xr10:uidLastSave="{00000000-0000-0000-0000-000000000000}"/>
  <bookViews>
    <workbookView xWindow="0" yWindow="460" windowWidth="28800" windowHeight="16020" xr2:uid="{00000000-000D-0000-FFFF-FFFF00000000}"/>
  </bookViews>
  <sheets>
    <sheet name="2021" sheetId="6" r:id="rId1"/>
    <sheet name="Provincial" sheetId="5" r:id="rId2"/>
    <sheet name="Regional" sheetId="3" r:id="rId3"/>
    <sheet name="National" sheetId="4" r:id="rId4"/>
    <sheet name="notes and calcuation 2021" sheetId="10" r:id="rId5"/>
  </sheets>
  <definedNames>
    <definedName name="_xlnm.Print_Area" localSheetId="0">'2021'!$A$1:$P$85</definedName>
    <definedName name="_xlnm.Print_Titles" localSheetId="0">'2021'!$A:$E</definedName>
    <definedName name="_xlnm.Print_Titles" localSheetId="3">National!$A:$C,National!$3:$4</definedName>
    <definedName name="_xlnm.Print_Titles" localSheetId="1">Provincial!$A:$C,Provincial!$3:$4</definedName>
    <definedName name="_xlnm.Print_Titles" localSheetId="2">Regional!$A:$C,Regional!$3:$4</definedName>
    <definedName name="QB_BASIS_4" localSheetId="0" hidden="1">'2021'!#REF!</definedName>
    <definedName name="QB_BASIS_4" localSheetId="3" hidden="1">National!#REF!</definedName>
    <definedName name="QB_BASIS_4" localSheetId="1" hidden="1">Provincial!#REF!</definedName>
    <definedName name="QB_BASIS_4" localSheetId="2" hidden="1">Regional!#REF!</definedName>
    <definedName name="QB_COLUMN_59200" localSheetId="0" hidden="1">'2021'!$G$5</definedName>
    <definedName name="QB_COLUMN_59200" localSheetId="3" hidden="1">National!$E$4</definedName>
    <definedName name="QB_COLUMN_59200" localSheetId="1" hidden="1">Provincial!$E$4</definedName>
    <definedName name="QB_COLUMN_59200" localSheetId="2" hidden="1">Regional!$E$4</definedName>
    <definedName name="QB_COLUMN_62230" localSheetId="3" hidden="1">National!$K$4</definedName>
    <definedName name="QB_COLUMN_62230" localSheetId="1" hidden="1">Provincial!$K$4</definedName>
    <definedName name="QB_COLUMN_62230" localSheetId="2" hidden="1">Regional!$K$4</definedName>
    <definedName name="QB_COLUMN_63620" localSheetId="0" hidden="1">'2021'!#REF!</definedName>
    <definedName name="QB_COLUMN_63620" localSheetId="3" hidden="1">National!$I$4</definedName>
    <definedName name="QB_COLUMN_63620" localSheetId="1" hidden="1">Provincial!$I$4</definedName>
    <definedName name="QB_COLUMN_63620" localSheetId="2" hidden="1">Regional!$I$4</definedName>
    <definedName name="QB_COLUMN_63650" localSheetId="3" hidden="1">National!#REF!</definedName>
    <definedName name="QB_COLUMN_63650" localSheetId="1" hidden="1">Provincial!#REF!</definedName>
    <definedName name="QB_COLUMN_63650" localSheetId="2" hidden="1">Regional!#REF!</definedName>
    <definedName name="QB_COLUMN_64430" localSheetId="0" hidden="1">'2021'!#REF!</definedName>
    <definedName name="QB_COLUMN_76210" localSheetId="0" hidden="1">'2021'!$I$5</definedName>
    <definedName name="QB_COLUMN_76210" localSheetId="3" hidden="1">National!$G$4</definedName>
    <definedName name="QB_COLUMN_76210" localSheetId="1" hidden="1">Provincial!$G$4</definedName>
    <definedName name="QB_COLUMN_76210" localSheetId="2" hidden="1">Regional!$G$4</definedName>
    <definedName name="QB_COLUMN_76240" localSheetId="3" hidden="1">National!#REF!</definedName>
    <definedName name="QB_COLUMN_76240" localSheetId="1" hidden="1">Provincial!#REF!</definedName>
    <definedName name="QB_COLUMN_76240" localSheetId="2" hidden="1">Regional!#REF!</definedName>
    <definedName name="QB_COLUMN_76260" localSheetId="3" hidden="1">National!#REF!</definedName>
    <definedName name="QB_COLUMN_76260" localSheetId="1" hidden="1">Provincial!#REF!</definedName>
    <definedName name="QB_COLUMN_76260" localSheetId="2" hidden="1">Regional!#REF!</definedName>
    <definedName name="QB_COMPANY_0" localSheetId="0" hidden="1">'2021'!$A$1</definedName>
    <definedName name="QB_COMPANY_0" localSheetId="3" hidden="1">National!$A$1</definedName>
    <definedName name="QB_COMPANY_0" localSheetId="1" hidden="1">Provincial!$A$1</definedName>
    <definedName name="QB_COMPANY_0" localSheetId="2" hidden="1">Regional!$A$1</definedName>
    <definedName name="QB_DATA_0" localSheetId="0" hidden="1">'2021'!$8:$8,'2021'!$10:$10,'2021'!#REF!,'2021'!$12:$12,'2021'!$14:$14,'2021'!$15:$15,'2021'!#REF!,'2021'!#REF!,'2021'!#REF!,'2021'!#REF!,'2021'!#REF!,'2021'!#REF!,'2021'!$20:$20,'2021'!#REF!,'2021'!#REF!,'2021'!$24:$24</definedName>
    <definedName name="QB_DATA_0" localSheetId="3" hidden="1">National!$6:$6,National!$7:$7,National!$8:$8,National!$9:$9,National!$10:$10</definedName>
    <definedName name="QB_DATA_0" localSheetId="1" hidden="1">Provincial!$6:$6,Provincial!$7:$7,Provincial!$8:$8,Provincial!$9:$9,Provincial!$10:$10,Provincial!$11:$11,Provincial!$12:$12,Provincial!$13:$13,Provincial!$14:$14,Provincial!$15:$15,Provincial!$16:$16,Provincial!$17:$17,Provincial!#REF!</definedName>
    <definedName name="QB_DATA_0" localSheetId="2" hidden="1">Regional!$6:$6,Regional!$7:$7,Regional!$8:$8,Regional!$9:$9,Regional!$10:$10,Regional!$11:$11,Regional!$12:$12,Regional!$13:$13,Regional!$14:$14,Regional!$15:$15,Regional!$16:$16,Regional!$17:$17,Regional!$18:$18,Regional!$19:$19,Regional!$20:$20,Regional!$21:$21</definedName>
    <definedName name="QB_DATA_1" localSheetId="0" hidden="1">'2021'!$25:$25,'2021'!#REF!,'2021'!$27:$27,'2021'!$29:$29,'2021'!$30:$30,'2021'!#REF!,'2021'!#REF!,'2021'!#REF!,'2021'!$31:$31,'2021'!#REF!,'2021'!#REF!,'2021'!#REF!,'2021'!$36:$36,'2021'!$37:$37,'2021'!$38:$38,'2021'!$39:$39</definedName>
    <definedName name="QB_DATA_2" localSheetId="0" hidden="1">'2021'!$40:$40,'2021'!$41:$41,'2021'!$42:$42,'2021'!$43:$43,'2021'!$44:$44,'2021'!$45:$45,'2021'!$46:$46,'2021'!$47:$47,'2021'!$48:$48,'2021'!#REF!,'2021'!$49:$49,'2021'!$50:$50,'2021'!$51:$51,'2021'!$52:$52,'2021'!$53:$53,'2021'!$54:$54</definedName>
    <definedName name="QB_DATA_3" localSheetId="0" hidden="1">'2021'!#REF!,'2021'!#REF!,'2021'!$55:$55,'2021'!$56:$56,'2021'!#REF!,'2021'!$57:$57,'2021'!$63:$63</definedName>
    <definedName name="QB_DATE_1" localSheetId="0" hidden="1">'2021'!#REF!</definedName>
    <definedName name="QB_DATE_1" localSheetId="3" hidden="1">National!#REF!</definedName>
    <definedName name="QB_DATE_1" localSheetId="1" hidden="1">Provincial!#REF!</definedName>
    <definedName name="QB_DATE_1" localSheetId="2" hidden="1">Regional!#REF!</definedName>
    <definedName name="QB_FORMULA_0" localSheetId="0" hidden="1">'2021'!#REF!,'2021'!#REF!,'2021'!#REF!,'2021'!#REF!,'2021'!#REF!,'2021'!#REF!,'2021'!#REF!,'2021'!#REF!,'2021'!#REF!,'2021'!#REF!,'2021'!#REF!,'2021'!#REF!,'2021'!#REF!,'2021'!#REF!,'2021'!#REF!,'2021'!#REF!</definedName>
    <definedName name="QB_FORMULA_0" localSheetId="3" hidden="1">National!$I$6,National!#REF!,National!$I$7,National!#REF!,National!$I$8,National!#REF!,National!$I$9,National!#REF!,National!$I$10,National!#REF!,National!$E$11,National!$G$11,National!$I$11,National!$K$11,National!#REF!,National!#REF!</definedName>
    <definedName name="QB_FORMULA_0" localSheetId="1" hidden="1">Provincial!$I$6,Provincial!#REF!,Provincial!$I$7,Provincial!#REF!,Provincial!$I$8,Provincial!#REF!,Provincial!$I$9,Provincial!#REF!,Provincial!$I$10,Provincial!#REF!,Provincial!$I$11,Provincial!#REF!,Provincial!$I$12,Provincial!#REF!,Provincial!$I$13,Provincial!#REF!</definedName>
    <definedName name="QB_FORMULA_0" localSheetId="2" hidden="1">Regional!$I$6,Regional!#REF!,Regional!$I$7,Regional!#REF!,Regional!$I$8,Regional!#REF!,Regional!$I$9,Regional!#REF!,Regional!$I$10,Regional!#REF!,Regional!$I$11,Regional!#REF!,Regional!$I$12,Regional!#REF!,Regional!$I$13,Regional!#REF!</definedName>
    <definedName name="QB_FORMULA_1" localSheetId="0" hidden="1">'2021'!#REF!,'2021'!#REF!,'2021'!#REF!,'2021'!#REF!,'2021'!#REF!,'2021'!#REF!,'2021'!#REF!,'2021'!#REF!,'2021'!#REF!,'2021'!#REF!,'2021'!#REF!,'2021'!#REF!,'2021'!$G$22,'2021'!$I$22,'2021'!#REF!,'2021'!#REF!</definedName>
    <definedName name="QB_FORMULA_1" localSheetId="3" hidden="1">National!#REF!,National!$E$12,National!$G$12,National!$I$12,National!$K$12,National!#REF!,National!#REF!,National!#REF!</definedName>
    <definedName name="QB_FORMULA_1" localSheetId="1" hidden="1">Provincial!$I$14,Provincial!#REF!,Provincial!$I$15,Provincial!#REF!,Provincial!$I$16,Provincial!#REF!,Provincial!$I$17,Provincial!#REF!,Provincial!#REF!,Provincial!#REF!,Provincial!$E$19,Provincial!$G$19,Provincial!$I$19,Provincial!$K$19,Provincial!#REF!,Provincial!#REF!</definedName>
    <definedName name="QB_FORMULA_1" localSheetId="2" hidden="1">Regional!$I$14,Regional!#REF!,Regional!$I$15,Regional!#REF!,Regional!$I$16,Regional!#REF!,Regional!$I$17,Regional!#REF!,Regional!$I$18,Regional!#REF!,Regional!$I$19,Regional!#REF!,Regional!$I$20,Regional!#REF!,Regional!$I$21,Regional!#REF!</definedName>
    <definedName name="QB_FORMULA_2" localSheetId="0" hidden="1">'2021'!#REF!,'2021'!#REF!,'2021'!#REF!,'2021'!#REF!,'2021'!#REF!,'2021'!#REF!,'2021'!#REF!,'2021'!#REF!,'2021'!#REF!,'2021'!#REF!,'2021'!#REF!,'2021'!#REF!,'2021'!#REF!,'2021'!#REF!,'2021'!#REF!,'2021'!#REF!</definedName>
    <definedName name="QB_FORMULA_2" localSheetId="1" hidden="1">Provincial!#REF!,Provincial!$E$20,Provincial!$G$20,Provincial!$I$20,Provincial!$K$20,Provincial!#REF!,Provincial!#REF!,Provincial!#REF!</definedName>
    <definedName name="QB_FORMULA_2" localSheetId="2" hidden="1">Regional!$E$22,Regional!$G$22,Regional!$I$22,Regional!$K$22,Regional!#REF!,Regional!#REF!,Regional!#REF!,Regional!$E$23,Regional!$G$23,Regional!$I$23,Regional!$K$23,Regional!#REF!,Regional!#REF!,Regional!#REF!</definedName>
    <definedName name="QB_FORMULA_3" localSheetId="0" hidden="1">'2021'!#REF!,'2021'!#REF!,'2021'!#REF!,'2021'!#REF!,'2021'!#REF!,'2021'!#REF!,'2021'!#REF!,'2021'!#REF!,'2021'!#REF!,'2021'!#REF!,'2021'!$G$32,'2021'!$I$32,'2021'!#REF!,'2021'!#REF!,'2021'!$G$33,'2021'!$I$33</definedName>
    <definedName name="QB_FORMULA_4" localSheetId="0" hidden="1">'2021'!#REF!,'2021'!#REF!,'2021'!#REF!,'2021'!#REF!,'2021'!#REF!,'2021'!#REF!,'2021'!#REF!,'2021'!#REF!,'2021'!#REF!,'2021'!#REF!,'2021'!#REF!,'2021'!#REF!,'2021'!#REF!,'2021'!#REF!,'2021'!#REF!,'2021'!#REF!</definedName>
    <definedName name="QB_FORMULA_5" localSheetId="0" hidden="1">'2021'!#REF!,'2021'!#REF!,'2021'!#REF!,'2021'!#REF!,'2021'!#REF!,'2021'!#REF!,'2021'!#REF!,'2021'!#REF!,'2021'!#REF!,'2021'!#REF!,'2021'!#REF!,'2021'!#REF!,'2021'!#REF!,'2021'!#REF!,'2021'!#REF!,'2021'!#REF!</definedName>
    <definedName name="QB_FORMULA_6" localSheetId="0" hidden="1">'2021'!#REF!,'2021'!#REF!,'2021'!#REF!,'2021'!#REF!,'2021'!#REF!,'2021'!#REF!,'2021'!#REF!,'2021'!#REF!,'2021'!#REF!,'2021'!#REF!,'2021'!#REF!,'2021'!#REF!,'2021'!#REF!,'2021'!#REF!,'2021'!#REF!,'2021'!#REF!</definedName>
    <definedName name="QB_FORMULA_7" localSheetId="0" hidden="1">'2021'!#REF!,'2021'!#REF!,'2021'!#REF!,'2021'!#REF!,'2021'!#REF!,'2021'!#REF!,'2021'!#REF!,'2021'!#REF!,'2021'!$G$55,'2021'!$I$55,'2021'!#REF!,'2021'!#REF!,'2021'!$G$56,'2021'!$I$56,'2021'!#REF!,'2021'!#REF!</definedName>
    <definedName name="QB_FORMULA_8" localSheetId="0" hidden="1">'2021'!#REF!,'2021'!#REF!,'2021'!#REF!,'2021'!#REF!,'2021'!#REF!,'2021'!#REF!,'2021'!#REF!,'2021'!#REF!,'2021'!#REF!,'2021'!#REF!,'2021'!$G$59,'2021'!$I$59,'2021'!#REF!,'2021'!#REF!</definedName>
    <definedName name="QB_ROW_106240" localSheetId="0" hidden="1">'2021'!$E$8</definedName>
    <definedName name="QB_ROW_108240" localSheetId="0" hidden="1">'2021'!$E$10</definedName>
    <definedName name="QB_ROW_109240" localSheetId="0" hidden="1">'2021'!#REF!</definedName>
    <definedName name="QB_ROW_110240" localSheetId="0" hidden="1">'2021'!$E$12</definedName>
    <definedName name="QB_ROW_112240" localSheetId="0" hidden="1">'2021'!$E$14</definedName>
    <definedName name="QB_ROW_121240" localSheetId="0" hidden="1">'2021'!#REF!</definedName>
    <definedName name="QB_ROW_122240" localSheetId="0" hidden="1">'2021'!$E$49</definedName>
    <definedName name="QB_ROW_123240" localSheetId="0" hidden="1">'2021'!$E$54</definedName>
    <definedName name="QB_ROW_124240" localSheetId="0" hidden="1">'2021'!$E$52</definedName>
    <definedName name="QB_ROW_127240" localSheetId="0" hidden="1">'2021'!$E$48</definedName>
    <definedName name="QB_ROW_132240" localSheetId="0" hidden="1">'2021'!$E$37</definedName>
    <definedName name="QB_ROW_133240" localSheetId="0" hidden="1">'2021'!$E$36</definedName>
    <definedName name="QB_ROW_135240" localSheetId="0" hidden="1">'2021'!$E$38</definedName>
    <definedName name="QB_ROW_136240" localSheetId="0" hidden="1">'2021'!$E$41</definedName>
    <definedName name="QB_ROW_157240" localSheetId="0" hidden="1">'2021'!$E$27</definedName>
    <definedName name="QB_ROW_161240" localSheetId="0" hidden="1">'2021'!$E$29</definedName>
    <definedName name="QB_ROW_163240" localSheetId="0" hidden="1">'2021'!$E$30</definedName>
    <definedName name="QB_ROW_167240" localSheetId="0" hidden="1">'2021'!#REF!</definedName>
    <definedName name="QB_ROW_168240" localSheetId="0" hidden="1">'2021'!$E$31</definedName>
    <definedName name="QB_ROW_169240" localSheetId="0" hidden="1">'2021'!#REF!</definedName>
    <definedName name="QB_ROW_170240" localSheetId="0" hidden="1">'2021'!$E$39</definedName>
    <definedName name="QB_ROW_171240" localSheetId="0" hidden="1">'2021'!#REF!</definedName>
    <definedName name="QB_ROW_18301" localSheetId="0" hidden="1">'2021'!$A$59</definedName>
    <definedName name="QB_ROW_19011" localSheetId="0" hidden="1">'2021'!$B$6</definedName>
    <definedName name="QB_ROW_19311" localSheetId="0" hidden="1">'2021'!$B$56</definedName>
    <definedName name="QB_ROW_20031" localSheetId="0" hidden="1">'2021'!$D$7</definedName>
    <definedName name="QB_ROW_20331" localSheetId="0" hidden="1">'2021'!$D$22</definedName>
    <definedName name="QB_ROW_21031" localSheetId="0" hidden="1">'2021'!$D$34</definedName>
    <definedName name="QB_ROW_21331" localSheetId="0" hidden="1">'2021'!$D$55</definedName>
    <definedName name="QB_ROW_22011" localSheetId="0" hidden="1">'2021'!#REF!</definedName>
    <definedName name="QB_ROW_22311" localSheetId="0" hidden="1">'2021'!#REF!</definedName>
    <definedName name="QB_ROW_23021" localSheetId="0" hidden="1">'2021'!$C$57</definedName>
    <definedName name="QB_ROW_230240" localSheetId="0" hidden="1">'2021'!#REF!</definedName>
    <definedName name="QB_ROW_23321" localSheetId="0" hidden="1">'2021'!#REF!</definedName>
    <definedName name="QB_ROW_25240" localSheetId="0" hidden="1">'2021'!$E$46</definedName>
    <definedName name="QB_ROW_263240" localSheetId="0" hidden="1">'2021'!#REF!</definedName>
    <definedName name="QB_ROW_264240" localSheetId="0" hidden="1">'2021'!#REF!</definedName>
    <definedName name="QB_ROW_266240" localSheetId="0" hidden="1">'2021'!$E$40</definedName>
    <definedName name="QB_ROW_267240" localSheetId="0" hidden="1">'2021'!$E$42</definedName>
    <definedName name="QB_ROW_268240" localSheetId="0" hidden="1">'2021'!$E$53</definedName>
    <definedName name="QB_ROW_273240" localSheetId="0" hidden="1">'2021'!$E$51</definedName>
    <definedName name="QB_ROW_274240" localSheetId="0" hidden="1">'2021'!#REF!</definedName>
    <definedName name="QB_ROW_275240" localSheetId="0" hidden="1">'2021'!#REF!</definedName>
    <definedName name="QB_ROW_279240" localSheetId="0" hidden="1">'2021'!#REF!</definedName>
    <definedName name="QB_ROW_284240" localSheetId="0" hidden="1">'2021'!#REF!</definedName>
    <definedName name="QB_ROW_287240" localSheetId="0" hidden="1">'2021'!#REF!</definedName>
    <definedName name="QB_ROW_290240" localSheetId="0" hidden="1">'2021'!#REF!</definedName>
    <definedName name="QB_ROW_293240" localSheetId="0" hidden="1">'2021'!$E$50</definedName>
    <definedName name="QB_ROW_299240" localSheetId="0" hidden="1">'2021'!$E$24</definedName>
    <definedName name="QB_ROW_300240" localSheetId="0" hidden="1">'2021'!#REF!</definedName>
    <definedName name="QB_ROW_301240" localSheetId="0" hidden="1">'2021'!$E$25</definedName>
    <definedName name="QB_ROW_30240" localSheetId="0" hidden="1">'2021'!$E$15</definedName>
    <definedName name="QB_ROW_304230" localSheetId="0" hidden="1">'2021'!$B$58</definedName>
    <definedName name="QB_ROW_305240" localSheetId="0" hidden="1">'2021'!#REF!</definedName>
    <definedName name="QB_ROW_306240" localSheetId="0" hidden="1">'2021'!#REF!</definedName>
    <definedName name="QB_ROW_309240" localSheetId="0" hidden="1">'2021'!#REF!</definedName>
    <definedName name="QB_ROW_31240" localSheetId="0" hidden="1">'2021'!#REF!</definedName>
    <definedName name="QB_ROW_31301" localSheetId="3" hidden="1">National!$A$12</definedName>
    <definedName name="QB_ROW_31301" localSheetId="1" hidden="1">Provincial!$A$20</definedName>
    <definedName name="QB_ROW_31301" localSheetId="2" hidden="1">Regional!$A$23</definedName>
    <definedName name="QB_ROW_32240" localSheetId="0" hidden="1">'2021'!#REF!</definedName>
    <definedName name="QB_ROW_48240" localSheetId="0" hidden="1">'2021'!#REF!</definedName>
    <definedName name="QB_ROW_59240" localSheetId="0" hidden="1">'2021'!$E$44</definedName>
    <definedName name="QB_ROW_60240" localSheetId="0" hidden="1">'2021'!$E$45</definedName>
    <definedName name="QB_ROW_61240" localSheetId="0" hidden="1">'2021'!$E$43</definedName>
    <definedName name="QB_ROW_62240" localSheetId="0" hidden="1">'2021'!$E$47</definedName>
    <definedName name="QB_ROW_671010" localSheetId="2" hidden="1">Regional!$B$5</definedName>
    <definedName name="QB_ROW_671310" localSheetId="2" hidden="1">Regional!$B$22</definedName>
    <definedName name="QB_ROW_672220" localSheetId="2" hidden="1">Regional!$C$21</definedName>
    <definedName name="QB_ROW_687010" localSheetId="3" hidden="1">National!$B$5</definedName>
    <definedName name="QB_ROW_687310" localSheetId="3" hidden="1">National!$B$11</definedName>
    <definedName name="QB_ROW_69240" localSheetId="0" hidden="1">'2021'!#REF!</definedName>
    <definedName name="QB_ROW_701010" localSheetId="1" hidden="1">Provincial!$B$5</definedName>
    <definedName name="QB_ROW_701310" localSheetId="1" hidden="1">Provincial!$B$19</definedName>
    <definedName name="QB_ROW_713220" localSheetId="1" hidden="1">Provincial!#REF!</definedName>
    <definedName name="QB_ROW_73240" localSheetId="0" hidden="1">'2021'!$E$20</definedName>
    <definedName name="QB_ROW_758220" localSheetId="2" hidden="1">Regional!$C$6</definedName>
    <definedName name="QB_ROW_759220" localSheetId="2" hidden="1">Regional!$C$7</definedName>
    <definedName name="QB_ROW_760220" localSheetId="2" hidden="1">Regional!$C$8</definedName>
    <definedName name="QB_ROW_761220" localSheetId="2" hidden="1">Regional!$C$9</definedName>
    <definedName name="QB_ROW_762220" localSheetId="2" hidden="1">Regional!$C$10</definedName>
    <definedName name="QB_ROW_763220" localSheetId="2" hidden="1">Regional!$C$11</definedName>
    <definedName name="QB_ROW_764220" localSheetId="2" hidden="1">Regional!$C$12</definedName>
    <definedName name="QB_ROW_765220" localSheetId="2" hidden="1">Regional!$C$13</definedName>
    <definedName name="QB_ROW_766220" localSheetId="2" hidden="1">Regional!$C$14</definedName>
    <definedName name="QB_ROW_767220" localSheetId="2" hidden="1">Regional!$C$15</definedName>
    <definedName name="QB_ROW_768220" localSheetId="2" hidden="1">Regional!$C$16</definedName>
    <definedName name="QB_ROW_769220" localSheetId="2" hidden="1">Regional!$C$17</definedName>
    <definedName name="QB_ROW_770220" localSheetId="2" hidden="1">Regional!$C$18</definedName>
    <definedName name="QB_ROW_771220" localSheetId="2" hidden="1">Regional!$C$19</definedName>
    <definedName name="QB_ROW_772220" localSheetId="2" hidden="1">Regional!$C$20</definedName>
    <definedName name="QB_ROW_795220" localSheetId="1" hidden="1">Provincial!$C$6</definedName>
    <definedName name="QB_ROW_796220" localSheetId="1" hidden="1">Provincial!$C$7</definedName>
    <definedName name="QB_ROW_797220" localSheetId="1" hidden="1">Provincial!$C$8</definedName>
    <definedName name="QB_ROW_798220" localSheetId="1" hidden="1">Provincial!$C$9</definedName>
    <definedName name="QB_ROW_799220" localSheetId="1" hidden="1">Provincial!$C$10</definedName>
    <definedName name="QB_ROW_800220" localSheetId="1" hidden="1">Provincial!$C$11</definedName>
    <definedName name="QB_ROW_801220" localSheetId="1" hidden="1">Provincial!$C$12</definedName>
    <definedName name="QB_ROW_802220" localSheetId="1" hidden="1">Provincial!$C$13</definedName>
    <definedName name="QB_ROW_803220" localSheetId="1" hidden="1">Provincial!$C$14</definedName>
    <definedName name="QB_ROW_804220" localSheetId="1" hidden="1">Provincial!$C$15</definedName>
    <definedName name="QB_ROW_805220" localSheetId="1" hidden="1">Provincial!$C$16</definedName>
    <definedName name="QB_ROW_806220" localSheetId="1" hidden="1">Provincial!$C$17</definedName>
    <definedName name="QB_ROW_807220" localSheetId="3" hidden="1">National!$C$7</definedName>
    <definedName name="QB_ROW_808220" localSheetId="3" hidden="1">National!$C$10</definedName>
    <definedName name="QB_ROW_809220" localSheetId="3" hidden="1">National!$C$9</definedName>
    <definedName name="QB_ROW_810220" localSheetId="3" hidden="1">National!$C$8</definedName>
    <definedName name="QB_ROW_86321" localSheetId="0" hidden="1">'2021'!$C$33</definedName>
    <definedName name="QB_ROW_87031" localSheetId="0" hidden="1">'2021'!$D$23</definedName>
    <definedName name="QB_ROW_87331" localSheetId="0" hidden="1">'2021'!$D$32</definedName>
    <definedName name="QB_ROW_9240" localSheetId="0" hidden="1">'2021'!#REF!</definedName>
    <definedName name="QB_ROW_934220" localSheetId="3" hidden="1">National!$C$6</definedName>
    <definedName name="QB_SUBTITLE_3" localSheetId="0" hidden="1">'2021'!#REF!</definedName>
    <definedName name="QB_SUBTITLE_3" localSheetId="3" hidden="1">National!#REF!</definedName>
    <definedName name="QB_SUBTITLE_3" localSheetId="1" hidden="1">Provincial!#REF!</definedName>
    <definedName name="QB_SUBTITLE_3" localSheetId="2" hidden="1">Regional!#REF!</definedName>
    <definedName name="QB_TIME_5" localSheetId="0" hidden="1">'2021'!#REF!</definedName>
    <definedName name="QB_TIME_5" localSheetId="3" hidden="1">National!#REF!</definedName>
    <definedName name="QB_TIME_5" localSheetId="1" hidden="1">Provincial!#REF!</definedName>
    <definedName name="QB_TIME_5" localSheetId="2" hidden="1">Regional!#REF!</definedName>
    <definedName name="QB_TITLE_2" localSheetId="0" hidden="1">'2021'!$A$2</definedName>
    <definedName name="QB_TITLE_2" localSheetId="3" hidden="1">National!$A$2</definedName>
    <definedName name="QB_TITLE_2" localSheetId="1" hidden="1">Provincial!$A$2</definedName>
    <definedName name="QB_TITLE_2" localSheetId="2" hidden="1">Regional!$A$2</definedName>
    <definedName name="QBCANSUPPORTUPDATE" localSheetId="0">TRUE</definedName>
    <definedName name="QBCANSUPPORTUPDATE" localSheetId="3">TRUE</definedName>
    <definedName name="QBCANSUPPORTUPDATE" localSheetId="1">TRUE</definedName>
    <definedName name="QBCANSUPPORTUPDATE" localSheetId="2">TRUE</definedName>
    <definedName name="QBCOMPANYFILENAME" localSheetId="0">"C:\Users\Public\Documents\Intuit\QuickBooks\Company Files\Skills Canada, BC jul2017.qbw"</definedName>
    <definedName name="QBCOMPANYFILENAME" localSheetId="3">"C:\Users\Public\Documents\Intuit\QuickBooks\Company Files\Skills Canada, BC jul2017.qbw"</definedName>
    <definedName name="QBCOMPANYFILENAME" localSheetId="1">"C:\Users\Public\Documents\Intuit\QuickBooks\Company Files\Skills Canada, BC jul2017.qbw"</definedName>
    <definedName name="QBCOMPANYFILENAME" localSheetId="2">"C:\Users\Public\Documents\Intuit\QuickBooks\Company Files\Skills Canada, BC jul2017.qbw"</definedName>
    <definedName name="QBENDDATE" localSheetId="0">20181024</definedName>
    <definedName name="QBENDDATE" localSheetId="3">20181116</definedName>
    <definedName name="QBENDDATE" localSheetId="1">20181116</definedName>
    <definedName name="QBENDDATE" localSheetId="2">20181116</definedName>
    <definedName name="QBHEADERSONSCREEN" localSheetId="0">TRUE</definedName>
    <definedName name="QBHEADERSONSCREEN" localSheetId="3">TRUE</definedName>
    <definedName name="QBHEADERSONSCREEN" localSheetId="1">TRUE</definedName>
    <definedName name="QBHEADERSONSCREEN" localSheetId="2">TRUE</definedName>
    <definedName name="QBMETADATASIZE" localSheetId="0">5914</definedName>
    <definedName name="QBMETADATASIZE" localSheetId="3">5942</definedName>
    <definedName name="QBMETADATASIZE" localSheetId="1">5974</definedName>
    <definedName name="QBMETADATASIZE" localSheetId="2">5982</definedName>
    <definedName name="QBPRESERVECOLOR" localSheetId="0">TRUE</definedName>
    <definedName name="QBPRESERVECOLOR" localSheetId="3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3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3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3">TRUE</definedName>
    <definedName name="QBPRESERVESPACE" localSheetId="1">TRUE</definedName>
    <definedName name="QBPRESERVESPACE" localSheetId="2">TRUE</definedName>
    <definedName name="QBREPORTCOLAXIS" localSheetId="0">0</definedName>
    <definedName name="QBREPORTCOLAXIS" localSheetId="3">0</definedName>
    <definedName name="QBREPORTCOLAXIS" localSheetId="1">0</definedName>
    <definedName name="QBREPORTCOLAXIS" localSheetId="2">0</definedName>
    <definedName name="QBREPORTCOMPANYID" localSheetId="0">"59a6c43d7db64ef6903534fae1175bcc"</definedName>
    <definedName name="QBREPORTCOMPANYID" localSheetId="3">"59a6c43d7db64ef6903534fae1175bcc"</definedName>
    <definedName name="QBREPORTCOMPANYID" localSheetId="1">"59a6c43d7db64ef6903534fae1175bcc"</definedName>
    <definedName name="QBREPORTCOMPANYID" localSheetId="2">"59a6c43d7db64ef6903534fae1175bcc"</definedName>
    <definedName name="QBREPORTCOMPARECOL_ANNUALBUDGET" localSheetId="0">FALSE</definedName>
    <definedName name="QBREPORTCOMPARECOL_ANNUALBUDGET" localSheetId="3">TRUE</definedName>
    <definedName name="QBREPORTCOMPARECOL_ANNUALBUDGET" localSheetId="1">TRUE</definedName>
    <definedName name="QBREPORTCOMPARECOL_ANNUALBUDGET" localSheetId="2">TRUE</definedName>
    <definedName name="QBREPORTCOMPARECOL_AVGCOGS" localSheetId="0">FALSE</definedName>
    <definedName name="QBREPORTCOMPARECOL_AVGCOGS" localSheetId="3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3">FALSE</definedName>
    <definedName name="QBREPORTCOMPARECOL_AVGPRICE" localSheetId="1">FALSE</definedName>
    <definedName name="QBREPORTCOMPARECOL_AVGPRICE" localSheetId="2">FALSE</definedName>
    <definedName name="QBREPORTCOMPARECOL_BUDDIFF" localSheetId="0">TRUE</definedName>
    <definedName name="QBREPORTCOMPARECOL_BUDDIFF" localSheetId="3">TRUE</definedName>
    <definedName name="QBREPORTCOMPARECOL_BUDDIFF" localSheetId="1">TRUE</definedName>
    <definedName name="QBREPORTCOMPARECOL_BUDDIFF" localSheetId="2">TRUE</definedName>
    <definedName name="QBREPORTCOMPARECOL_BUDGET" localSheetId="0">TRUE</definedName>
    <definedName name="QBREPORTCOMPARECOL_BUDGET" localSheetId="3">TRUE</definedName>
    <definedName name="QBREPORTCOMPARECOL_BUDGET" localSheetId="1">TRUE</definedName>
    <definedName name="QBREPORTCOMPARECOL_BUDGET" localSheetId="2">TRUE</definedName>
    <definedName name="QBREPORTCOMPARECOL_BUDPCT" localSheetId="0">TRUE</definedName>
    <definedName name="QBREPORTCOMPARECOL_BUDPCT" localSheetId="3">FALSE</definedName>
    <definedName name="QBREPORTCOMPARECOL_BUDPCT" localSheetId="1">FALSE</definedName>
    <definedName name="QBREPORTCOMPARECOL_BUDPCT" localSheetId="2">FALSE</definedName>
    <definedName name="QBREPORTCOMPARECOL_COGS" localSheetId="0">FALSE</definedName>
    <definedName name="QBREPORTCOMPARECOL_COGS" localSheetId="3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3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3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3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3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3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3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3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3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3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3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3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3">FALSE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3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3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3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3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3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3">TRUE</definedName>
    <definedName name="QBREPORTCOMPARECOL_YTD" localSheetId="1">TRUE</definedName>
    <definedName name="QBREPORTCOMPARECOL_YTD" localSheetId="2">TRUE</definedName>
    <definedName name="QBREPORTCOMPARECOL_YTDBUDGET" localSheetId="0">FALSE</definedName>
    <definedName name="QBREPORTCOMPARECOL_YTDBUDGET" localSheetId="3">TRUE</definedName>
    <definedName name="QBREPORTCOMPARECOL_YTDBUDGET" localSheetId="1">TRUE</definedName>
    <definedName name="QBREPORTCOMPARECOL_YTDBUDGET" localSheetId="2">TRUE</definedName>
    <definedName name="QBREPORTCOMPARECOL_YTDPCT" localSheetId="0">FALSE</definedName>
    <definedName name="QBREPORTCOMPARECOL_YTDPCT" localSheetId="3">FALSE</definedName>
    <definedName name="QBREPORTCOMPARECOL_YTDPCT" localSheetId="1">FALSE</definedName>
    <definedName name="QBREPORTCOMPARECOL_YTDPCT" localSheetId="2">FALSE</definedName>
    <definedName name="QBREPORTROWAXIS" localSheetId="0">11</definedName>
    <definedName name="QBREPORTROWAXIS" localSheetId="3">13</definedName>
    <definedName name="QBREPORTROWAXIS" localSheetId="1">13</definedName>
    <definedName name="QBREPORTROWAXIS" localSheetId="2">13</definedName>
    <definedName name="QBREPORTSUBCOLAXIS" localSheetId="0">24</definedName>
    <definedName name="QBREPORTSUBCOLAXIS" localSheetId="3">24</definedName>
    <definedName name="QBREPORTSUBCOLAXIS" localSheetId="1">24</definedName>
    <definedName name="QBREPORTSUBCOLAXIS" localSheetId="2">24</definedName>
    <definedName name="QBREPORTTYPE" localSheetId="0">288</definedName>
    <definedName name="QBREPORTTYPE" localSheetId="3">273</definedName>
    <definedName name="QBREPORTTYPE" localSheetId="1">273</definedName>
    <definedName name="QBREPORTTYPE" localSheetId="2">273</definedName>
    <definedName name="QBROWHEADERS" localSheetId="0">5</definedName>
    <definedName name="QBROWHEADERS" localSheetId="3">3</definedName>
    <definedName name="QBROWHEADERS" localSheetId="1">3</definedName>
    <definedName name="QBROWHEADERS" localSheetId="2">3</definedName>
    <definedName name="QBSTARTDATE" localSheetId="0">20180101</definedName>
    <definedName name="QBSTARTDATE" localSheetId="3">20180101</definedName>
    <definedName name="QBSTARTDATE" localSheetId="1">20180101</definedName>
    <definedName name="QBSTARTDATE" localSheetId="2">20180101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6" l="1"/>
  <c r="S63" i="6" l="1"/>
  <c r="O63" i="6"/>
  <c r="S56" i="6"/>
  <c r="S55" i="6"/>
  <c r="S33" i="6"/>
  <c r="S32" i="6"/>
  <c r="S22" i="6"/>
  <c r="M8" i="6"/>
  <c r="M22" i="6"/>
  <c r="M33" i="6" s="1"/>
  <c r="M56" i="6" s="1"/>
  <c r="N22" i="6"/>
  <c r="M32" i="6"/>
  <c r="N32" i="6"/>
  <c r="N33" i="6" s="1"/>
  <c r="N56" i="6" s="1"/>
  <c r="N49" i="6"/>
  <c r="M55" i="6"/>
  <c r="N55" i="6"/>
  <c r="O55" i="6"/>
  <c r="O32" i="6"/>
  <c r="O11" i="4" l="1"/>
  <c r="O19" i="5"/>
  <c r="O22" i="3"/>
  <c r="M11" i="4"/>
  <c r="M19" i="5" l="1"/>
  <c r="K19" i="5"/>
  <c r="M22" i="3" l="1"/>
  <c r="M23" i="3" s="1"/>
  <c r="I9" i="10" l="1"/>
  <c r="J9" i="10"/>
  <c r="K8" i="10"/>
  <c r="K5" i="10"/>
  <c r="H7" i="10"/>
  <c r="I11" i="10" s="1"/>
  <c r="H6" i="10"/>
  <c r="K6" i="10" s="1"/>
  <c r="H9" i="10" l="1"/>
  <c r="I10" i="10" s="1"/>
  <c r="I12" i="10" s="1"/>
  <c r="K7" i="10"/>
  <c r="K9" i="10" s="1"/>
  <c r="G8" i="10"/>
  <c r="G7" i="10"/>
  <c r="F9" i="10"/>
  <c r="E9" i="10"/>
  <c r="G6" i="10"/>
  <c r="B32" i="10"/>
  <c r="G27" i="10"/>
  <c r="B26" i="10"/>
  <c r="B27" i="10" s="1"/>
  <c r="K12" i="10"/>
  <c r="R7" i="10"/>
  <c r="Q7" i="10"/>
  <c r="P7" i="10"/>
  <c r="O7" i="10"/>
  <c r="N7" i="10"/>
  <c r="M7" i="10"/>
  <c r="R6" i="10"/>
  <c r="Q6" i="10"/>
  <c r="P6" i="10"/>
  <c r="O6" i="10"/>
  <c r="N6" i="10"/>
  <c r="M6" i="10"/>
  <c r="C6" i="10"/>
  <c r="C9" i="10" s="1"/>
  <c r="U7" i="10" l="1"/>
  <c r="Q9" i="10"/>
  <c r="O9" i="10"/>
  <c r="X6" i="10"/>
  <c r="X9" i="10" s="1"/>
  <c r="M9" i="10"/>
  <c r="P9" i="10"/>
  <c r="G9" i="10"/>
  <c r="N9" i="10"/>
  <c r="N10" i="10" s="1"/>
  <c r="O10" i="10" s="1"/>
  <c r="W6" i="10"/>
  <c r="W9" i="10" s="1"/>
  <c r="R9" i="10"/>
  <c r="R10" i="10"/>
  <c r="S6" i="10"/>
  <c r="S7" i="10"/>
  <c r="T7" i="10"/>
  <c r="B28" i="10"/>
  <c r="B29" i="10" s="1"/>
  <c r="C27" i="10"/>
  <c r="U6" i="10"/>
  <c r="T6" i="10"/>
  <c r="G49" i="6"/>
  <c r="I14" i="6"/>
  <c r="S9" i="10" l="1"/>
  <c r="X10" i="10"/>
  <c r="T9" i="10"/>
  <c r="U9" i="10"/>
  <c r="K8" i="6"/>
  <c r="O21" i="6"/>
  <c r="O23" i="6"/>
  <c r="O34" i="6"/>
  <c r="O54" i="6"/>
  <c r="U10" i="10" l="1"/>
  <c r="R11" i="10" s="1"/>
  <c r="O33" i="6"/>
  <c r="O56" i="6" s="1"/>
  <c r="G54" i="6" l="1"/>
  <c r="G52" i="6"/>
  <c r="G51" i="6"/>
  <c r="G50" i="6"/>
  <c r="I49" i="6" l="1"/>
  <c r="I54" i="6"/>
  <c r="I52" i="6"/>
  <c r="I51" i="6"/>
  <c r="I50" i="6"/>
  <c r="K54" i="6"/>
  <c r="K52" i="6"/>
  <c r="K51" i="6"/>
  <c r="K49" i="6"/>
  <c r="K55" i="6" l="1"/>
  <c r="K22" i="6"/>
  <c r="D11" i="4"/>
  <c r="D12" i="4" s="1"/>
  <c r="D22" i="3"/>
  <c r="D23" i="3" s="1"/>
  <c r="G19" i="5"/>
  <c r="E19" i="5"/>
  <c r="D19" i="5"/>
  <c r="D20" i="5" s="1"/>
  <c r="I22" i="6"/>
  <c r="K30" i="6" l="1"/>
  <c r="I32" i="6"/>
  <c r="I55" i="6"/>
  <c r="G22" i="6"/>
  <c r="G32" i="6"/>
  <c r="I6" i="4"/>
  <c r="E29" i="3"/>
  <c r="I21" i="3"/>
  <c r="K20" i="5"/>
  <c r="G20" i="5"/>
  <c r="I19" i="5"/>
  <c r="I17" i="5"/>
  <c r="I16" i="5"/>
  <c r="I15" i="5"/>
  <c r="I14" i="5"/>
  <c r="I13" i="5"/>
  <c r="I12" i="5"/>
  <c r="I11" i="5"/>
  <c r="I10" i="5"/>
  <c r="I9" i="5"/>
  <c r="I8" i="5"/>
  <c r="I7" i="5"/>
  <c r="I6" i="5"/>
  <c r="K11" i="4"/>
  <c r="K12" i="4" s="1"/>
  <c r="G11" i="4"/>
  <c r="E11" i="4"/>
  <c r="E12" i="4" s="1"/>
  <c r="I10" i="4"/>
  <c r="I9" i="4"/>
  <c r="I8" i="4"/>
  <c r="I7" i="4"/>
  <c r="K22" i="3"/>
  <c r="K23" i="3" s="1"/>
  <c r="G22" i="3"/>
  <c r="G23" i="3" s="1"/>
  <c r="E22" i="3"/>
  <c r="E23" i="3" s="1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11" i="4" l="1"/>
  <c r="G55" i="6"/>
  <c r="K27" i="6"/>
  <c r="K24" i="6"/>
  <c r="K25" i="6"/>
  <c r="I33" i="6"/>
  <c r="I56" i="6" s="1"/>
  <c r="I59" i="6" s="1"/>
  <c r="I63" i="6" s="1"/>
  <c r="G33" i="6"/>
  <c r="G12" i="4"/>
  <c r="I12" i="4" s="1"/>
  <c r="E20" i="5"/>
  <c r="I20" i="5" s="1"/>
  <c r="I23" i="3"/>
  <c r="I22" i="3"/>
  <c r="K32" i="6" l="1"/>
  <c r="G56" i="6"/>
  <c r="G59" i="6" s="1"/>
  <c r="G63" i="6" s="1"/>
  <c r="G64" i="6" s="1"/>
  <c r="K33" i="6" l="1"/>
  <c r="K56" i="6" l="1"/>
  <c r="K59" i="6" l="1"/>
  <c r="K6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tc={615E1B09-05D2-4B01-9C16-6D142975D51B}</author>
  </authors>
  <commentList>
    <comment ref="A4" authorId="0" shapeId="0" xr:uid="{615E1B09-05D2-4B01-9C16-6D142975D51B}">
      <text>
        <t>[Threaded comment]
Your version of Excel allows you to read this threaded comment; however, any edits to it will get removed if the file is opened in a newer version of Excel. Learn more: https://go.microsoft.com/fwlink/?linkid=870924
Comment:
    numbers are from ESDC 5 year budget</t>
      </text>
    </comment>
  </commentList>
</comments>
</file>

<file path=xl/sharedStrings.xml><?xml version="1.0" encoding="utf-8"?>
<sst xmlns="http://schemas.openxmlformats.org/spreadsheetml/2006/main" count="189" uniqueCount="166">
  <si>
    <t>Skills Canada BC</t>
  </si>
  <si>
    <t>Ordinary Income/Expense</t>
  </si>
  <si>
    <t>Income</t>
  </si>
  <si>
    <t>42035 · Skills Canada Essential Skills</t>
  </si>
  <si>
    <t>43000 · Sponsorships</t>
  </si>
  <si>
    <t>43100 · Registration Fees</t>
  </si>
  <si>
    <t>47200 · Interest Revenue</t>
  </si>
  <si>
    <t>Total Income</t>
  </si>
  <si>
    <t>Cost of Goods Sold</t>
  </si>
  <si>
    <t>51000 · Regional Competitions</t>
  </si>
  <si>
    <t>52000 · Provincial Competitions</t>
  </si>
  <si>
    <t>53000 · National Competitions</t>
  </si>
  <si>
    <t>54000 · World Skills Competition</t>
  </si>
  <si>
    <t>55200 · Skilled Trades for Women</t>
  </si>
  <si>
    <t>Total COGS</t>
  </si>
  <si>
    <t>Gross Profit</t>
  </si>
  <si>
    <t>61000 · Gala Expenses</t>
  </si>
  <si>
    <t>61100 · AGM &amp; Board Expenses</t>
  </si>
  <si>
    <t>61200 · Communications &amp; Marketing</t>
  </si>
  <si>
    <t>61400 · Insurance</t>
  </si>
  <si>
    <t>61500 · Interest &amp; Bank Charges</t>
  </si>
  <si>
    <t>61600 · IT, Website &amp; Administration</t>
  </si>
  <si>
    <t>61700 · Memberships &amp; Licences</t>
  </si>
  <si>
    <t>61800 · Office Supplies &amp; Equipment</t>
  </si>
  <si>
    <t>61900 · Postage, Shipping &amp; Delivery</t>
  </si>
  <si>
    <t>62000 · Printing and Copying</t>
  </si>
  <si>
    <t>62100 · Professional Fees</t>
  </si>
  <si>
    <t>62200 · Telecommunications</t>
  </si>
  <si>
    <t>62400 · Travel and Meetings</t>
  </si>
  <si>
    <t>65000 · Amortization</t>
  </si>
  <si>
    <t>66100 · Vacation</t>
  </si>
  <si>
    <t>66200 · MERCs</t>
  </si>
  <si>
    <t>66300 · Employee Benefits</t>
  </si>
  <si>
    <t>66400 · Staff Training &amp; Development</t>
  </si>
  <si>
    <t>66500 · Payroll Administration Fees</t>
  </si>
  <si>
    <t>Net Income</t>
  </si>
  <si>
    <t>2019 Budget</t>
  </si>
  <si>
    <t>Regional Competitions - Budget Comparison</t>
  </si>
  <si>
    <t>$ Over Budget</t>
  </si>
  <si>
    <t>Regional Competition Costs</t>
  </si>
  <si>
    <t>17.R100 Regional Operating Expenses</t>
  </si>
  <si>
    <t>Total Regional Competition Costs</t>
  </si>
  <si>
    <t>TOTAL</t>
  </si>
  <si>
    <t>National Competitions - Budget Comparison</t>
  </si>
  <si>
    <t>National Competition Costs</t>
  </si>
  <si>
    <t>Total National Competition Costs</t>
  </si>
  <si>
    <t>Provincial Competition - Budget Comparison</t>
  </si>
  <si>
    <t>Provincial Competition Costs</t>
  </si>
  <si>
    <t>Total Provincial Competition Costs</t>
  </si>
  <si>
    <t>Budget 2019</t>
  </si>
  <si>
    <t>Operating Expenses:</t>
  </si>
  <si>
    <t>T-Shirts &amp; Medals</t>
  </si>
  <si>
    <t>Maria Rantanen NWLM Reg Coord fee</t>
  </si>
  <si>
    <t>Elaine agreed to increase the Regional budget to $7,000 from $6,000 for 2019.</t>
  </si>
  <si>
    <t>Encana Grant remains unchanged at $6,000.</t>
  </si>
  <si>
    <t>42032 . ITA</t>
  </si>
  <si>
    <t>Non-Cash items</t>
  </si>
  <si>
    <t>Net income after Non-Cash items</t>
  </si>
  <si>
    <t>42030 · BC Government (AEST)</t>
  </si>
  <si>
    <t>53010 . Nationals 2020</t>
  </si>
  <si>
    <t>Other items</t>
  </si>
  <si>
    <t>Cash available from prior year (less 40% contingency reserve)</t>
  </si>
  <si>
    <t>Notes</t>
  </si>
  <si>
    <t>47900. Miscellaneous Income</t>
  </si>
  <si>
    <t>July-Dec 2019</t>
  </si>
  <si>
    <t>3A</t>
  </si>
  <si>
    <t>3C</t>
  </si>
  <si>
    <t>Skills Canada corp-remaining</t>
  </si>
  <si>
    <t>monthly interest</t>
  </si>
  <si>
    <t>Michelle</t>
  </si>
  <si>
    <t>Jamie</t>
  </si>
  <si>
    <t>Salary</t>
  </si>
  <si>
    <t>Elaine</t>
  </si>
  <si>
    <t>Ryan $26/hr estimated 40 hr per month</t>
  </si>
  <si>
    <t>per pay period</t>
  </si>
  <si>
    <t>Pay periods remaining to end of year  11</t>
  </si>
  <si>
    <t>MERC</t>
  </si>
  <si>
    <t>Aug-Dec for Michelle, Jamie and Ryan</t>
  </si>
  <si>
    <t>Elaine reached max in June</t>
  </si>
  <si>
    <t>19R100 Regional Operating Expenses</t>
  </si>
  <si>
    <t>19R101 Encana - Peace Region</t>
  </si>
  <si>
    <t>19R102 Cariboo</t>
  </si>
  <si>
    <t>19R103 Central Lower Mainland</t>
  </si>
  <si>
    <t>19R104 Central Okanagan</t>
  </si>
  <si>
    <t>19R105 Kootenays</t>
  </si>
  <si>
    <t>19R106 Lower Fraser Valley</t>
  </si>
  <si>
    <t>19R107 North West</t>
  </si>
  <si>
    <t>19R108 Peace</t>
  </si>
  <si>
    <t>19R109 Upper Fraser Valley</t>
  </si>
  <si>
    <t>19R110 Vancouver Island Central</t>
  </si>
  <si>
    <t>19R111 Vancouver Island North</t>
  </si>
  <si>
    <t>19R112 Vancouver Island South</t>
  </si>
  <si>
    <t>19R113 Northwest Lower Mainland</t>
  </si>
  <si>
    <t>19R114 Central Interior</t>
  </si>
  <si>
    <t>Budget 2020</t>
  </si>
  <si>
    <t>19P100 Tradex Venue Rental &amp; Services</t>
  </si>
  <si>
    <t>19P101 Utilities</t>
  </si>
  <si>
    <t>19P102 General Equipment &amp; Services</t>
  </si>
  <si>
    <t>19P103 Transportation</t>
  </si>
  <si>
    <t>19P104 Support Staff &amp; Services</t>
  </si>
  <si>
    <t>19P105 Volunteer Coordinator</t>
  </si>
  <si>
    <t>19P106 Office Supplies</t>
  </si>
  <si>
    <t>19P107 School Bus Subsidy</t>
  </si>
  <si>
    <t>19P108 Supplies &amp; Area Costs</t>
  </si>
  <si>
    <t>19P109 Staff Travel</t>
  </si>
  <si>
    <t>19P110 Competitor Travel Subsidy</t>
  </si>
  <si>
    <t>19P111 Advertising &amp; Promotion</t>
  </si>
  <si>
    <t>19N099 National Registrations Collected</t>
  </si>
  <si>
    <t>19N100 National Registration Fees</t>
  </si>
  <si>
    <t>19N101 National Supplies</t>
  </si>
  <si>
    <t>19N102 National Travel &amp; TOC</t>
  </si>
  <si>
    <t>19N103 National Competitor Travel Subs.</t>
  </si>
  <si>
    <t>42037. Nationals 2020</t>
  </si>
  <si>
    <t>BC Government:</t>
  </si>
  <si>
    <t>Increase from 150,000 to $250,000</t>
  </si>
  <si>
    <t>RBC</t>
  </si>
  <si>
    <t>New funding for two years of $25000/year</t>
  </si>
  <si>
    <t>Sponsorship</t>
  </si>
  <si>
    <t>EXPENSES</t>
  </si>
  <si>
    <t>REVENUE</t>
  </si>
  <si>
    <t>Budegt notes</t>
  </si>
  <si>
    <t>Jan-Dec 2020</t>
  </si>
  <si>
    <t>Audited               Dec 31 2018</t>
  </si>
  <si>
    <t>Audited             Dec 31 2018</t>
  </si>
  <si>
    <t>19.P112 CFBC Secondment</t>
  </si>
  <si>
    <t>Actual              Jan-July 2019</t>
  </si>
  <si>
    <t>Audited                Dec 31 2018</t>
  </si>
  <si>
    <t>44829. In Kind Donations</t>
  </si>
  <si>
    <t>47000. Membership fees</t>
  </si>
  <si>
    <t>Surplus (Deficit)</t>
  </si>
  <si>
    <t>66000 · Staff Salaries, MERCs, Employee benefits, Payroll admin fee</t>
  </si>
  <si>
    <t>43200. National Registration Fees</t>
  </si>
  <si>
    <t>General and Administrative Expenses</t>
  </si>
  <si>
    <t>Total General and Administrative Expenses</t>
  </si>
  <si>
    <t>Jan-Mar</t>
  </si>
  <si>
    <t>Apr-Jun</t>
  </si>
  <si>
    <t>July-sep</t>
  </si>
  <si>
    <t>Oct-Dec</t>
  </si>
  <si>
    <t>Jan-Aug 2020</t>
  </si>
  <si>
    <t>Sep-Dec 2020</t>
  </si>
  <si>
    <t>July-Aug</t>
  </si>
  <si>
    <t>Sep</t>
  </si>
  <si>
    <t>Jan-Aug</t>
  </si>
  <si>
    <t>Sep-Dec</t>
  </si>
  <si>
    <t>Revised</t>
  </si>
  <si>
    <t>Actual
Dec 2019</t>
  </si>
  <si>
    <t>52210 . CFBC Secondment &amp; Related costs</t>
  </si>
  <si>
    <t>61150. Bad debts</t>
  </si>
  <si>
    <t>42020 · Skills/Competences Canada Corp</t>
  </si>
  <si>
    <t>42020 · Skills/Competences Canada Corp-RBC</t>
  </si>
  <si>
    <t>55000 · Inspire Program</t>
  </si>
  <si>
    <t>Jan-Aug 2021</t>
  </si>
  <si>
    <t xml:space="preserve">New Budget </t>
  </si>
  <si>
    <t>Oct-Dec 2020</t>
  </si>
  <si>
    <t>1A</t>
  </si>
  <si>
    <t>Fiscal Sep/20-Aug21</t>
  </si>
  <si>
    <t>less provincial</t>
  </si>
  <si>
    <t>Actual                 Jan-Dec 2019</t>
  </si>
  <si>
    <t>Actual            2019</t>
  </si>
  <si>
    <t>Revised 2020</t>
  </si>
  <si>
    <t>Budget 2021</t>
  </si>
  <si>
    <t>Annual Budget 2021</t>
  </si>
  <si>
    <t>Approved      Jan-Dec 2020  Budget</t>
  </si>
  <si>
    <t>Revised           Jan-Dec 2020  Budget</t>
  </si>
  <si>
    <t>Proposed                 Sep 2020-Aug 2021 Budget</t>
  </si>
  <si>
    <t xml:space="preserve">expected to decrease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</si>
</sst>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sz val="8"/>
      <color rgb="FF32323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39" fontId="4" fillId="0" borderId="0" xfId="0" applyNumberFormat="1" applyFont="1"/>
    <xf numFmtId="49" fontId="4" fillId="0" borderId="0" xfId="0" applyNumberFormat="1" applyFont="1"/>
    <xf numFmtId="39" fontId="4" fillId="0" borderId="5" xfId="0" applyNumberFormat="1" applyFont="1" applyBorder="1"/>
    <xf numFmtId="39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39" fontId="4" fillId="0" borderId="7" xfId="0" applyNumberFormat="1" applyFont="1" applyBorder="1"/>
    <xf numFmtId="43" fontId="0" fillId="0" borderId="0" xfId="1" applyFont="1"/>
    <xf numFmtId="43" fontId="4" fillId="0" borderId="0" xfId="1" applyFont="1"/>
    <xf numFmtId="43" fontId="1" fillId="0" borderId="6" xfId="1" applyFont="1" applyBorder="1"/>
    <xf numFmtId="43" fontId="1" fillId="0" borderId="0" xfId="1" applyFont="1"/>
    <xf numFmtId="49" fontId="6" fillId="0" borderId="0" xfId="0" applyNumberFormat="1" applyFont="1"/>
    <xf numFmtId="49" fontId="7" fillId="0" borderId="0" xfId="0" applyNumberFormat="1" applyFont="1"/>
    <xf numFmtId="43" fontId="8" fillId="0" borderId="0" xfId="1" applyFont="1"/>
    <xf numFmtId="49" fontId="8" fillId="0" borderId="0" xfId="0" applyNumberFormat="1" applyFont="1"/>
    <xf numFmtId="0" fontId="8" fillId="0" borderId="0" xfId="0" applyFont="1"/>
    <xf numFmtId="49" fontId="10" fillId="0" borderId="0" xfId="0" applyNumberFormat="1" applyFont="1"/>
    <xf numFmtId="43" fontId="8" fillId="0" borderId="0" xfId="1" applyFont="1" applyAlignment="1">
      <alignment horizontal="centerContinuous"/>
    </xf>
    <xf numFmtId="43" fontId="9" fillId="0" borderId="0" xfId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3" fontId="7" fillId="0" borderId="2" xfId="1" applyFont="1" applyBorder="1" applyAlignment="1">
      <alignment horizontal="center" wrapText="1"/>
    </xf>
    <xf numFmtId="43" fontId="8" fillId="0" borderId="0" xfId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11" fillId="0" borderId="0" xfId="0" applyNumberFormat="1" applyFont="1"/>
    <xf numFmtId="43" fontId="11" fillId="0" borderId="0" xfId="1" applyFont="1"/>
    <xf numFmtId="49" fontId="11" fillId="0" borderId="0" xfId="0" applyNumberFormat="1" applyFont="1" applyAlignment="1">
      <alignment vertical="center"/>
    </xf>
    <xf numFmtId="43" fontId="11" fillId="0" borderId="0" xfId="1" applyFont="1" applyAlignment="1">
      <alignment vertical="center"/>
    </xf>
    <xf numFmtId="43" fontId="11" fillId="0" borderId="3" xfId="1" applyFont="1" applyBorder="1"/>
    <xf numFmtId="43" fontId="11" fillId="0" borderId="4" xfId="1" applyFont="1" applyBorder="1"/>
    <xf numFmtId="0" fontId="11" fillId="0" borderId="0" xfId="0" applyFont="1"/>
    <xf numFmtId="43" fontId="7" fillId="0" borderId="6" xfId="1" applyFont="1" applyBorder="1"/>
    <xf numFmtId="43" fontId="7" fillId="0" borderId="0" xfId="1" applyFont="1"/>
    <xf numFmtId="0" fontId="7" fillId="0" borderId="0" xfId="0" applyFont="1"/>
    <xf numFmtId="39" fontId="4" fillId="0" borderId="0" xfId="0" applyNumberFormat="1" applyFont="1"/>
    <xf numFmtId="43" fontId="0" fillId="0" borderId="8" xfId="0" applyNumberFormat="1" applyBorder="1"/>
    <xf numFmtId="43" fontId="4" fillId="0" borderId="0" xfId="1" applyFont="1" applyFill="1"/>
    <xf numFmtId="10" fontId="0" fillId="0" borderId="0" xfId="1" applyNumberFormat="1" applyFont="1"/>
    <xf numFmtId="0" fontId="12" fillId="0" borderId="0" xfId="0" applyFont="1"/>
    <xf numFmtId="0" fontId="13" fillId="0" borderId="0" xfId="0" applyFont="1"/>
    <xf numFmtId="43" fontId="0" fillId="0" borderId="8" xfId="1" applyFont="1" applyBorder="1"/>
    <xf numFmtId="43" fontId="0" fillId="0" borderId="9" xfId="1" applyFont="1" applyBorder="1"/>
    <xf numFmtId="0" fontId="0" fillId="0" borderId="0" xfId="0" applyFont="1"/>
    <xf numFmtId="43" fontId="11" fillId="0" borderId="0" xfId="1" applyFont="1" applyFill="1"/>
    <xf numFmtId="43" fontId="11" fillId="0" borderId="0" xfId="1" applyFont="1" applyFill="1" applyAlignment="1">
      <alignment vertical="center"/>
    </xf>
    <xf numFmtId="43" fontId="11" fillId="0" borderId="4" xfId="1" applyFont="1" applyFill="1" applyBorder="1"/>
    <xf numFmtId="43" fontId="8" fillId="0" borderId="0" xfId="1" applyFont="1" applyFill="1"/>
    <xf numFmtId="43" fontId="8" fillId="0" borderId="0" xfId="1" applyFont="1" applyFill="1" applyAlignment="1">
      <alignment horizontal="centerContinuous"/>
    </xf>
    <xf numFmtId="43" fontId="7" fillId="0" borderId="2" xfId="1" applyFont="1" applyFill="1" applyBorder="1" applyAlignment="1">
      <alignment horizontal="center" wrapText="1"/>
    </xf>
    <xf numFmtId="43" fontId="11" fillId="0" borderId="3" xfId="1" applyFont="1" applyFill="1" applyBorder="1"/>
    <xf numFmtId="43" fontId="7" fillId="0" borderId="6" xfId="1" applyFont="1" applyFill="1" applyBorder="1"/>
    <xf numFmtId="43" fontId="7" fillId="0" borderId="0" xfId="1" applyFont="1" applyFill="1"/>
    <xf numFmtId="43" fontId="0" fillId="0" borderId="0" xfId="1" applyFont="1" applyFill="1"/>
    <xf numFmtId="43" fontId="1" fillId="0" borderId="6" xfId="1" applyFont="1" applyFill="1" applyBorder="1"/>
    <xf numFmtId="43" fontId="1" fillId="0" borderId="0" xfId="1" applyFont="1" applyFill="1"/>
    <xf numFmtId="49" fontId="7" fillId="2" borderId="2" xfId="0" applyNumberFormat="1" applyFont="1" applyFill="1" applyBorder="1" applyAlignment="1">
      <alignment horizontal="center"/>
    </xf>
    <xf numFmtId="39" fontId="4" fillId="2" borderId="0" xfId="0" applyNumberFormat="1" applyFont="1" applyFill="1"/>
    <xf numFmtId="39" fontId="4" fillId="2" borderId="5" xfId="0" applyNumberFormat="1" applyFont="1" applyFill="1" applyBorder="1"/>
    <xf numFmtId="39" fontId="1" fillId="2" borderId="6" xfId="0" applyNumberFormat="1" applyFont="1" applyFill="1" applyBorder="1"/>
    <xf numFmtId="49" fontId="1" fillId="2" borderId="2" xfId="0" applyNumberFormat="1" applyFont="1" applyFill="1" applyBorder="1" applyAlignment="1">
      <alignment horizontal="center"/>
    </xf>
    <xf numFmtId="43" fontId="4" fillId="2" borderId="0" xfId="1" applyFont="1" applyFill="1"/>
    <xf numFmtId="43" fontId="11" fillId="2" borderId="0" xfId="1" applyFont="1" applyFill="1"/>
    <xf numFmtId="43" fontId="7" fillId="2" borderId="6" xfId="1" applyFont="1" applyFill="1" applyBorder="1"/>
    <xf numFmtId="43" fontId="7" fillId="2" borderId="0" xfId="1" applyFont="1" applyFill="1"/>
    <xf numFmtId="0" fontId="11" fillId="0" borderId="0" xfId="0" applyFont="1" applyFill="1"/>
    <xf numFmtId="49" fontId="11" fillId="0" borderId="0" xfId="0" applyNumberFormat="1" applyFont="1" applyFill="1"/>
    <xf numFmtId="0" fontId="7" fillId="0" borderId="0" xfId="0" applyFont="1" applyFill="1"/>
    <xf numFmtId="0" fontId="8" fillId="0" borderId="0" xfId="0" applyFont="1" applyFill="1"/>
    <xf numFmtId="39" fontId="4" fillId="0" borderId="0" xfId="0" applyNumberFormat="1" applyFont="1" applyFill="1"/>
    <xf numFmtId="49" fontId="11" fillId="0" borderId="0" xfId="0" applyNumberFormat="1" applyFont="1" applyAlignment="1">
      <alignment shrinkToFit="1"/>
    </xf>
    <xf numFmtId="43" fontId="0" fillId="0" borderId="0" xfId="0" applyNumberFormat="1"/>
    <xf numFmtId="43" fontId="0" fillId="3" borderId="0" xfId="1" applyFont="1" applyFill="1"/>
    <xf numFmtId="43" fontId="11" fillId="0" borderId="9" xfId="1" applyFont="1" applyFill="1" applyBorder="1"/>
    <xf numFmtId="43" fontId="7" fillId="2" borderId="0" xfId="1" applyFont="1" applyFill="1" applyBorder="1"/>
    <xf numFmtId="43" fontId="11" fillId="2" borderId="9" xfId="1" applyFont="1" applyFill="1" applyBorder="1"/>
    <xf numFmtId="43" fontId="0" fillId="4" borderId="0" xfId="0" applyNumberFormat="1" applyFill="1"/>
    <xf numFmtId="43" fontId="0" fillId="4" borderId="0" xfId="1" applyFont="1" applyFill="1"/>
    <xf numFmtId="43" fontId="11" fillId="0" borderId="0" xfId="0" applyNumberFormat="1" applyFont="1"/>
    <xf numFmtId="43" fontId="7" fillId="2" borderId="11" xfId="1" applyFont="1" applyFill="1" applyBorder="1" applyAlignment="1">
      <alignment horizontal="center" wrapText="1"/>
    </xf>
    <xf numFmtId="43" fontId="11" fillId="2" borderId="13" xfId="1" applyFont="1" applyFill="1" applyBorder="1"/>
    <xf numFmtId="43" fontId="11" fillId="2" borderId="13" xfId="1" applyFont="1" applyFill="1" applyBorder="1" applyAlignment="1">
      <alignment vertical="center"/>
    </xf>
    <xf numFmtId="43" fontId="11" fillId="2" borderId="14" xfId="1" applyFont="1" applyFill="1" applyBorder="1"/>
    <xf numFmtId="43" fontId="11" fillId="2" borderId="15" xfId="1" applyFont="1" applyFill="1" applyBorder="1"/>
    <xf numFmtId="43" fontId="11" fillId="2" borderId="16" xfId="1" applyFont="1" applyFill="1" applyBorder="1"/>
    <xf numFmtId="43" fontId="14" fillId="2" borderId="11" xfId="1" applyFont="1" applyFill="1" applyBorder="1" applyAlignment="1">
      <alignment horizontal="center" wrapText="1"/>
    </xf>
    <xf numFmtId="43" fontId="14" fillId="2" borderId="12" xfId="1" applyFont="1" applyFill="1" applyBorder="1" applyAlignment="1">
      <alignment horizontal="center" wrapText="1"/>
    </xf>
    <xf numFmtId="43" fontId="15" fillId="2" borderId="13" xfId="1" applyFont="1" applyFill="1" applyBorder="1"/>
    <xf numFmtId="43" fontId="11" fillId="2" borderId="17" xfId="1" applyFont="1" applyFill="1" applyBorder="1"/>
    <xf numFmtId="43" fontId="11" fillId="2" borderId="17" xfId="1" applyFont="1" applyFill="1" applyBorder="1" applyAlignment="1">
      <alignment vertical="center"/>
    </xf>
    <xf numFmtId="43" fontId="8" fillId="0" borderId="0" xfId="1" applyFont="1" applyBorder="1" applyAlignment="1">
      <alignment horizontal="centerContinuous"/>
    </xf>
    <xf numFmtId="49" fontId="8" fillId="0" borderId="0" xfId="0" applyNumberFormat="1" applyFont="1" applyBorder="1" applyAlignment="1">
      <alignment horizontal="centerContinuous"/>
    </xf>
    <xf numFmtId="43" fontId="9" fillId="0" borderId="0" xfId="1" applyFont="1" applyFill="1" applyAlignment="1">
      <alignment horizontal="center"/>
    </xf>
    <xf numFmtId="43" fontId="7" fillId="0" borderId="0" xfId="1" applyFont="1" applyFill="1" applyBorder="1"/>
    <xf numFmtId="43" fontId="1" fillId="0" borderId="0" xfId="1" applyFont="1" applyFill="1" applyBorder="1"/>
    <xf numFmtId="0" fontId="11" fillId="0" borderId="0" xfId="0" applyFont="1" applyFill="1" applyAlignment="1">
      <alignment horizontal="left"/>
    </xf>
    <xf numFmtId="43" fontId="11" fillId="2" borderId="0" xfId="1" applyFont="1" applyFill="1" applyBorder="1"/>
    <xf numFmtId="43" fontId="11" fillId="2" borderId="0" xfId="1" applyFont="1" applyFill="1" applyBorder="1" applyAlignment="1">
      <alignment vertical="center"/>
    </xf>
    <xf numFmtId="43" fontId="8" fillId="0" borderId="0" xfId="1" applyFont="1" applyFill="1" applyBorder="1"/>
    <xf numFmtId="43" fontId="9" fillId="0" borderId="0" xfId="1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 wrapText="1"/>
    </xf>
    <xf numFmtId="43" fontId="11" fillId="0" borderId="0" xfId="1" applyFont="1" applyFill="1" applyBorder="1"/>
    <xf numFmtId="43" fontId="11" fillId="0" borderId="0" xfId="1" applyFont="1" applyFill="1" applyBorder="1" applyAlignment="1">
      <alignment vertical="center"/>
    </xf>
    <xf numFmtId="43" fontId="0" fillId="0" borderId="0" xfId="1" applyFont="1" applyFill="1" applyBorder="1"/>
    <xf numFmtId="43" fontId="4" fillId="0" borderId="0" xfId="1" applyFont="1" applyFill="1" applyBorder="1"/>
    <xf numFmtId="0" fontId="11" fillId="0" borderId="0" xfId="0" applyFont="1" applyFill="1" applyBorder="1" applyAlignment="1">
      <alignment horizontal="left"/>
    </xf>
    <xf numFmtId="43" fontId="7" fillId="5" borderId="3" xfId="1" applyFont="1" applyFill="1" applyBorder="1" applyAlignment="1"/>
    <xf numFmtId="43" fontId="11" fillId="2" borderId="8" xfId="1" applyFont="1" applyFill="1" applyBorder="1"/>
    <xf numFmtId="43" fontId="11" fillId="2" borderId="18" xfId="1" applyFont="1" applyFill="1" applyBorder="1"/>
    <xf numFmtId="43" fontId="7" fillId="2" borderId="19" xfId="1" applyFont="1" applyFill="1" applyBorder="1" applyAlignment="1">
      <alignment horizontal="center" wrapText="1"/>
    </xf>
    <xf numFmtId="43" fontId="11" fillId="2" borderId="19" xfId="1" applyFont="1" applyFill="1" applyBorder="1"/>
    <xf numFmtId="43" fontId="11" fillId="2" borderId="20" xfId="1" applyFont="1" applyFill="1" applyBorder="1"/>
    <xf numFmtId="43" fontId="11" fillId="2" borderId="21" xfId="1" applyFont="1" applyFill="1" applyBorder="1"/>
    <xf numFmtId="43" fontId="11" fillId="2" borderId="22" xfId="1" applyFont="1" applyFill="1" applyBorder="1"/>
    <xf numFmtId="43" fontId="11" fillId="2" borderId="23" xfId="1" applyFont="1" applyFill="1" applyBorder="1"/>
    <xf numFmtId="43" fontId="11" fillId="2" borderId="10" xfId="1" applyFont="1" applyFill="1" applyBorder="1"/>
    <xf numFmtId="43" fontId="11" fillId="0" borderId="9" xfId="1" applyFont="1" applyBorder="1"/>
    <xf numFmtId="43" fontId="8" fillId="0" borderId="0" xfId="1" applyFont="1" applyFill="1" applyBorder="1" applyAlignment="1">
      <alignment horizontal="centerContinuous"/>
    </xf>
    <xf numFmtId="0" fontId="16" fillId="0" borderId="0" xfId="0" applyFont="1"/>
    <xf numFmtId="17" fontId="16" fillId="0" borderId="0" xfId="0" applyNumberFormat="1" applyFont="1"/>
    <xf numFmtId="49" fontId="8" fillId="0" borderId="0" xfId="0" applyNumberFormat="1" applyFont="1" applyFill="1" applyBorder="1" applyAlignment="1">
      <alignment horizontal="centerContinuous"/>
    </xf>
    <xf numFmtId="43" fontId="7" fillId="5" borderId="16" xfId="1" applyFont="1" applyFill="1" applyBorder="1" applyAlignment="1"/>
    <xf numFmtId="49" fontId="8" fillId="0" borderId="0" xfId="0" applyNumberFormat="1" applyFont="1" applyFill="1" applyBorder="1"/>
    <xf numFmtId="43" fontId="7" fillId="0" borderId="3" xfId="1" applyFont="1" applyFill="1" applyBorder="1" applyAlignment="1"/>
    <xf numFmtId="43" fontId="14" fillId="2" borderId="24" xfId="1" applyFont="1" applyFill="1" applyBorder="1" applyAlignment="1">
      <alignment horizontal="center" wrapText="1"/>
    </xf>
    <xf numFmtId="0" fontId="0" fillId="0" borderId="0" xfId="0" applyFill="1"/>
    <xf numFmtId="43" fontId="7" fillId="2" borderId="25" xfId="1" applyFont="1" applyFill="1" applyBorder="1" applyAlignment="1">
      <alignment horizontal="center" wrapText="1"/>
    </xf>
    <xf numFmtId="43" fontId="7" fillId="0" borderId="15" xfId="1" applyFont="1" applyFill="1" applyBorder="1" applyAlignment="1">
      <alignment horizontal="center"/>
    </xf>
    <xf numFmtId="43" fontId="7" fillId="0" borderId="4" xfId="1" applyFont="1" applyFill="1" applyBorder="1" applyAlignment="1">
      <alignment horizontal="center"/>
    </xf>
    <xf numFmtId="43" fontId="7" fillId="0" borderId="3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1</xdr:row>
      <xdr:rowOff>38100</xdr:rowOff>
    </xdr:to>
    <xdr:sp macro="" textlink="">
      <xdr:nvSpPr>
        <xdr:cNvPr id="11265" name="FILTER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1</xdr:row>
      <xdr:rowOff>38100</xdr:rowOff>
    </xdr:to>
    <xdr:sp macro="" textlink="">
      <xdr:nvSpPr>
        <xdr:cNvPr id="11266" name="HEADER" hidden="1">
          <a:extLst>
            <a:ext uri="{63B3BB69-23CF-44E3-9099-C40C66FF867C}">
              <a14:compatExt xmlns:a14="http://schemas.microsoft.com/office/drawing/2010/main" spid="_x0000_s11266"/>
            </a:ex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1</xdr:row>
      <xdr:rowOff>38100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597FBA0E-7B97-5044-873E-8305C2A15E8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71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1</xdr:row>
      <xdr:rowOff>38100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B6C91115-099C-5D41-A8D1-2EC3717F74B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71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482600</xdr:colOff>
      <xdr:row>1</xdr:row>
      <xdr:rowOff>38100</xdr:rowOff>
    </xdr:to>
    <xdr:sp macro="" textlink="">
      <xdr:nvSpPr>
        <xdr:cNvPr id="8193" name="FILTER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482600</xdr:colOff>
      <xdr:row>1</xdr:row>
      <xdr:rowOff>38100</xdr:rowOff>
    </xdr:to>
    <xdr:sp macro="" textlink="">
      <xdr:nvSpPr>
        <xdr:cNvPr id="8194" name="HEADER" hidden="1">
          <a:extLst>
            <a:ext uri="{63B3BB69-23CF-44E3-9099-C40C66FF867C}">
              <a14:compatExt xmlns:a14="http://schemas.microsoft.com/office/drawing/2010/main" spid="_x0000_s8194"/>
            </a:ex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482600</xdr:colOff>
      <xdr:row>1</xdr:row>
      <xdr:rowOff>38100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40286523-F3AF-694D-A444-DDB33CD6464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98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482600</xdr:colOff>
      <xdr:row>1</xdr:row>
      <xdr:rowOff>38100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E48845FE-C140-6E49-9717-ACAE422F64F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98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482600</xdr:colOff>
      <xdr:row>1</xdr:row>
      <xdr:rowOff>38100</xdr:rowOff>
    </xdr:to>
    <xdr:sp macro="" textlink="">
      <xdr:nvSpPr>
        <xdr:cNvPr id="3073" name="FILTER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482600</xdr:colOff>
      <xdr:row>1</xdr:row>
      <xdr:rowOff>38100</xdr:rowOff>
    </xdr:to>
    <xdr:sp macro="" textlink="">
      <xdr:nvSpPr>
        <xdr:cNvPr id="3074" name="HEADER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482600</xdr:colOff>
      <xdr:row>1</xdr:row>
      <xdr:rowOff>38100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A01552CE-201F-4E45-B708-26693158567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98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482600</xdr:colOff>
      <xdr:row>1</xdr:row>
      <xdr:rowOff>38100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1C66D7E5-89F9-8944-9AFB-E98DBD3FBD3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98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482600</xdr:colOff>
      <xdr:row>1</xdr:row>
      <xdr:rowOff>38100</xdr:rowOff>
    </xdr:to>
    <xdr:sp macro="" textlink="">
      <xdr:nvSpPr>
        <xdr:cNvPr id="5121" name="FILTER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482600</xdr:colOff>
      <xdr:row>1</xdr:row>
      <xdr:rowOff>38100</xdr:rowOff>
    </xdr:to>
    <xdr:sp macro="" textlink="">
      <xdr:nvSpPr>
        <xdr:cNvPr id="5122" name="HEADER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482600</xdr:colOff>
      <xdr:row>1</xdr:row>
      <xdr:rowOff>38100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79308E1A-2144-2840-8B70-0E0A14C599E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98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482600</xdr:colOff>
      <xdr:row>1</xdr:row>
      <xdr:rowOff>38100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D0050699-773D-7043-9471-8F4DCCC6AE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98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ona Soleimani" id="{3032AC4A-0C85-4FDB-9FAE-697ECEA1A88F}" userId="e1085e5da1e7a53e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19-08-08T17:31:50.52" personId="{3032AC4A-0C85-4FDB-9FAE-697ECEA1A88F}" id="{615E1B09-05D2-4B01-9C16-6D142975D51B}">
    <text>numbers are from ESDC 5 year budget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A0BF3-355F-45E1-8B36-4B622381EA60}">
  <sheetPr codeName="Sheet6"/>
  <dimension ref="A1:AC106"/>
  <sheetViews>
    <sheetView tabSelected="1" zoomScale="170" zoomScaleNormal="170" workbookViewId="0">
      <pane xSplit="5" ySplit="5" topLeftCell="F6" activePane="bottomRight" state="frozenSplit"/>
      <selection pane="topRight" activeCell="F1" sqref="F1"/>
      <selection pane="bottomLeft" activeCell="A6" sqref="A6"/>
      <selection pane="bottomRight" activeCell="I18" sqref="I18"/>
    </sheetView>
  </sheetViews>
  <sheetFormatPr baseColWidth="10" defaultColWidth="9.1640625" defaultRowHeight="15" outlineLevelRow="1" outlineLevelCol="1" x14ac:dyDescent="0.2"/>
  <cols>
    <col min="1" max="2" width="1.33203125" style="44" customWidth="1"/>
    <col min="3" max="4" width="1" style="44" customWidth="1"/>
    <col min="5" max="5" width="27.6640625" style="44" customWidth="1"/>
    <col min="6" max="6" width="0.33203125" style="24" customWidth="1"/>
    <col min="7" max="7" width="11.33203125" style="24" bestFit="1" customWidth="1"/>
    <col min="8" max="8" width="0.33203125" style="24" customWidth="1"/>
    <col min="9" max="9" width="10.33203125" style="57" bestFit="1" customWidth="1"/>
    <col min="10" max="10" width="1.1640625" customWidth="1"/>
    <col min="11" max="11" width="12" style="24" customWidth="1"/>
    <col min="12" max="12" width="0.83203125" style="108" customWidth="1"/>
    <col min="13" max="14" width="11.1640625" style="24" hidden="1" customWidth="1" outlineLevel="1"/>
    <col min="15" max="15" width="12" style="57" customWidth="1" collapsed="1"/>
    <col min="16" max="16" width="2.1640625" style="26" customWidth="1"/>
    <col min="17" max="17" width="10.6640625" style="26" hidden="1" customWidth="1" outlineLevel="1"/>
    <col min="18" max="18" width="11.6640625" style="26" hidden="1" customWidth="1" outlineLevel="1"/>
    <col min="19" max="19" width="15.1640625" style="54" customWidth="1" collapsed="1"/>
    <col min="20" max="20" width="9.1640625" style="54"/>
    <col min="21" max="21" width="11.83203125" style="26" bestFit="1" customWidth="1"/>
    <col min="22" max="16384" width="9.1640625" style="26"/>
  </cols>
  <sheetData>
    <row r="1" spans="1:20" ht="16" x14ac:dyDescent="0.2">
      <c r="A1" s="22" t="s">
        <v>0</v>
      </c>
      <c r="B1" s="23"/>
      <c r="C1" s="23"/>
      <c r="D1" s="23"/>
      <c r="E1" s="23"/>
      <c r="P1" s="25"/>
      <c r="Q1" s="25"/>
      <c r="R1" s="25"/>
    </row>
    <row r="2" spans="1:20" ht="18" x14ac:dyDescent="0.2">
      <c r="A2" s="27" t="s">
        <v>161</v>
      </c>
      <c r="B2" s="23"/>
      <c r="C2" s="23"/>
      <c r="D2" s="23"/>
      <c r="E2" s="23"/>
      <c r="O2" s="108"/>
      <c r="P2" s="132"/>
      <c r="Q2" s="132"/>
      <c r="R2" s="132"/>
      <c r="S2" s="111"/>
    </row>
    <row r="3" spans="1:20" ht="6" customHeight="1" thickBot="1" x14ac:dyDescent="0.25">
      <c r="A3" s="23"/>
      <c r="B3" s="23"/>
      <c r="C3" s="23"/>
      <c r="D3" s="23"/>
      <c r="E3" s="23"/>
      <c r="F3" s="100"/>
      <c r="G3" s="100"/>
      <c r="H3" s="100"/>
      <c r="I3" s="127"/>
      <c r="K3" s="29"/>
      <c r="L3" s="109"/>
      <c r="M3" s="29"/>
      <c r="N3" s="29"/>
      <c r="O3" s="109"/>
      <c r="P3" s="130"/>
      <c r="Q3" s="130"/>
      <c r="R3" s="130"/>
      <c r="S3" s="111"/>
    </row>
    <row r="4" spans="1:20" ht="15.5" customHeight="1" thickBot="1" x14ac:dyDescent="0.25">
      <c r="A4" s="23"/>
      <c r="B4" s="23"/>
      <c r="C4" s="23"/>
      <c r="D4" s="23"/>
      <c r="E4" s="23"/>
      <c r="F4" s="100"/>
      <c r="G4" s="28"/>
      <c r="H4" s="100"/>
      <c r="I4" s="58"/>
      <c r="K4" s="102"/>
      <c r="L4" s="109"/>
      <c r="M4" s="137"/>
      <c r="N4" s="138"/>
      <c r="O4" s="139"/>
      <c r="P4" s="101"/>
      <c r="Q4" s="131"/>
      <c r="R4" s="116"/>
      <c r="S4" s="133"/>
    </row>
    <row r="5" spans="1:20" s="34" customFormat="1" ht="44.25" customHeight="1" thickTop="1" thickBot="1" x14ac:dyDescent="0.25">
      <c r="A5" s="30"/>
      <c r="B5" s="30"/>
      <c r="C5" s="30"/>
      <c r="D5" s="30"/>
      <c r="E5" s="30"/>
      <c r="F5" s="32"/>
      <c r="G5" s="31" t="s">
        <v>145</v>
      </c>
      <c r="H5" s="32"/>
      <c r="I5" s="59" t="s">
        <v>36</v>
      </c>
      <c r="K5" s="89" t="s">
        <v>162</v>
      </c>
      <c r="L5" s="110"/>
      <c r="M5" s="95" t="s">
        <v>138</v>
      </c>
      <c r="N5" s="96" t="s">
        <v>139</v>
      </c>
      <c r="O5" s="119" t="s">
        <v>163</v>
      </c>
      <c r="P5" s="33"/>
      <c r="Q5" s="96" t="s">
        <v>139</v>
      </c>
      <c r="R5" s="134" t="s">
        <v>151</v>
      </c>
      <c r="S5" s="136" t="s">
        <v>164</v>
      </c>
      <c r="T5" s="54"/>
    </row>
    <row r="6" spans="1:20" ht="16" thickTop="1" x14ac:dyDescent="0.2">
      <c r="A6" s="35"/>
      <c r="B6" s="35" t="s">
        <v>1</v>
      </c>
      <c r="C6" s="35"/>
      <c r="D6" s="35"/>
      <c r="E6" s="35"/>
      <c r="F6" s="36"/>
      <c r="G6" s="36"/>
      <c r="H6" s="36"/>
      <c r="I6" s="54"/>
      <c r="K6" s="90"/>
      <c r="L6" s="111"/>
      <c r="M6" s="90"/>
      <c r="N6" s="106"/>
      <c r="O6" s="120"/>
      <c r="P6" s="35"/>
      <c r="Q6" s="106"/>
      <c r="R6" s="106"/>
      <c r="S6" s="98"/>
    </row>
    <row r="7" spans="1:20" x14ac:dyDescent="0.2">
      <c r="A7" s="35"/>
      <c r="B7" s="35"/>
      <c r="C7" s="35"/>
      <c r="D7" s="35" t="s">
        <v>2</v>
      </c>
      <c r="E7" s="35"/>
      <c r="F7" s="36"/>
      <c r="G7" s="36"/>
      <c r="H7" s="36"/>
      <c r="I7" s="54"/>
      <c r="K7" s="90"/>
      <c r="L7" s="111"/>
      <c r="M7" s="90"/>
      <c r="N7" s="106"/>
      <c r="O7" s="98"/>
      <c r="P7" s="35"/>
      <c r="Q7" s="106"/>
      <c r="R7" s="106"/>
      <c r="S7" s="98"/>
    </row>
    <row r="8" spans="1:20" x14ac:dyDescent="0.2">
      <c r="A8" s="35"/>
      <c r="B8" s="35"/>
      <c r="C8" s="35"/>
      <c r="D8" s="35"/>
      <c r="E8" s="37" t="s">
        <v>148</v>
      </c>
      <c r="F8" s="38"/>
      <c r="G8" s="38">
        <v>289990.3</v>
      </c>
      <c r="H8" s="38"/>
      <c r="I8" s="55">
        <v>234885</v>
      </c>
      <c r="K8" s="91">
        <f>271742+25000</f>
        <v>296742</v>
      </c>
      <c r="L8" s="112"/>
      <c r="M8" s="91">
        <f>88700+25000</f>
        <v>113700</v>
      </c>
      <c r="N8" s="107">
        <v>49600</v>
      </c>
      <c r="O8" s="99">
        <v>163300</v>
      </c>
      <c r="P8" s="88"/>
      <c r="Q8" s="107">
        <v>49600</v>
      </c>
      <c r="R8" s="107">
        <v>253985</v>
      </c>
      <c r="S8" s="99">
        <v>303585</v>
      </c>
    </row>
    <row r="9" spans="1:20" hidden="1" outlineLevel="1" x14ac:dyDescent="0.2">
      <c r="A9" s="35"/>
      <c r="B9" s="35"/>
      <c r="C9" s="35"/>
      <c r="D9" s="35"/>
      <c r="E9" s="37" t="s">
        <v>149</v>
      </c>
      <c r="F9" s="38"/>
      <c r="G9" s="38">
        <v>0</v>
      </c>
      <c r="H9" s="38"/>
      <c r="I9" s="55">
        <v>0</v>
      </c>
      <c r="K9" s="91">
        <v>0</v>
      </c>
      <c r="L9" s="112"/>
      <c r="M9" s="91"/>
      <c r="N9" s="107"/>
      <c r="O9" s="99">
        <v>0</v>
      </c>
      <c r="P9" s="88"/>
      <c r="Q9" s="107"/>
      <c r="R9" s="107"/>
      <c r="S9" s="99">
        <v>0</v>
      </c>
    </row>
    <row r="10" spans="1:20" collapsed="1" x14ac:dyDescent="0.2">
      <c r="A10" s="35"/>
      <c r="B10" s="35"/>
      <c r="C10" s="35"/>
      <c r="D10" s="35"/>
      <c r="E10" s="35" t="s">
        <v>58</v>
      </c>
      <c r="F10" s="36"/>
      <c r="G10" s="36">
        <v>150000</v>
      </c>
      <c r="H10" s="36"/>
      <c r="I10" s="54">
        <v>150000</v>
      </c>
      <c r="K10" s="90">
        <v>250000</v>
      </c>
      <c r="L10" s="111"/>
      <c r="M10" s="90">
        <v>250000</v>
      </c>
      <c r="N10" s="106">
        <v>0</v>
      </c>
      <c r="O10" s="98">
        <v>250000</v>
      </c>
      <c r="P10" s="88"/>
      <c r="Q10" s="106">
        <v>0</v>
      </c>
      <c r="R10" s="106">
        <v>250000</v>
      </c>
      <c r="S10" s="98">
        <v>250000</v>
      </c>
    </row>
    <row r="11" spans="1:20" x14ac:dyDescent="0.2">
      <c r="A11" s="35"/>
      <c r="B11" s="35"/>
      <c r="C11" s="35"/>
      <c r="D11" s="35"/>
      <c r="E11" s="35" t="s">
        <v>55</v>
      </c>
      <c r="F11" s="36"/>
      <c r="G11" s="36">
        <v>150000</v>
      </c>
      <c r="H11" s="36"/>
      <c r="I11" s="54">
        <v>150000</v>
      </c>
      <c r="K11" s="90">
        <v>150000</v>
      </c>
      <c r="L11" s="111"/>
      <c r="M11" s="90">
        <v>150000</v>
      </c>
      <c r="N11" s="106">
        <v>0</v>
      </c>
      <c r="O11" s="98">
        <v>150000</v>
      </c>
      <c r="P11" s="88"/>
      <c r="Q11" s="106">
        <v>0</v>
      </c>
      <c r="R11" s="106">
        <v>150000</v>
      </c>
      <c r="S11" s="98">
        <v>150000</v>
      </c>
    </row>
    <row r="12" spans="1:20" x14ac:dyDescent="0.2">
      <c r="A12" s="35"/>
      <c r="B12" s="35"/>
      <c r="C12" s="35"/>
      <c r="D12" s="35"/>
      <c r="E12" s="35" t="s">
        <v>3</v>
      </c>
      <c r="F12" s="36"/>
      <c r="G12" s="36">
        <v>0</v>
      </c>
      <c r="H12" s="36"/>
      <c r="I12" s="54">
        <v>5000</v>
      </c>
      <c r="K12" s="90">
        <v>5000</v>
      </c>
      <c r="L12" s="111"/>
      <c r="M12" s="90">
        <v>0</v>
      </c>
      <c r="N12" s="106">
        <v>0</v>
      </c>
      <c r="O12" s="98">
        <v>0</v>
      </c>
      <c r="P12" s="88"/>
      <c r="Q12" s="106">
        <v>0</v>
      </c>
      <c r="R12" s="106">
        <v>0</v>
      </c>
      <c r="S12" s="98">
        <v>0</v>
      </c>
    </row>
    <row r="13" spans="1:20" x14ac:dyDescent="0.2">
      <c r="A13" s="35"/>
      <c r="B13" s="35"/>
      <c r="C13" s="35"/>
      <c r="D13" s="35"/>
      <c r="E13" s="35" t="s">
        <v>112</v>
      </c>
      <c r="F13" s="36"/>
      <c r="G13" s="36">
        <v>0</v>
      </c>
      <c r="H13" s="36"/>
      <c r="I13" s="54">
        <v>0</v>
      </c>
      <c r="K13" s="90">
        <v>50000</v>
      </c>
      <c r="L13" s="111"/>
      <c r="M13" s="97">
        <v>0</v>
      </c>
      <c r="N13" s="106">
        <v>0</v>
      </c>
      <c r="O13" s="98">
        <v>0</v>
      </c>
      <c r="P13" s="88"/>
      <c r="Q13" s="106">
        <v>0</v>
      </c>
      <c r="R13" s="106">
        <v>0</v>
      </c>
      <c r="S13" s="98">
        <v>0</v>
      </c>
    </row>
    <row r="14" spans="1:20" x14ac:dyDescent="0.2">
      <c r="A14" s="35"/>
      <c r="B14" s="35"/>
      <c r="C14" s="35"/>
      <c r="D14" s="35"/>
      <c r="E14" s="35" t="s">
        <v>4</v>
      </c>
      <c r="F14" s="36"/>
      <c r="G14" s="36">
        <v>254500</v>
      </c>
      <c r="H14" s="36"/>
      <c r="I14" s="54">
        <f>280000+4000</f>
        <v>284000</v>
      </c>
      <c r="K14" s="90">
        <v>254000</v>
      </c>
      <c r="L14" s="111"/>
      <c r="M14" s="90">
        <v>80000</v>
      </c>
      <c r="N14" s="106">
        <v>0</v>
      </c>
      <c r="O14" s="98">
        <v>80000</v>
      </c>
      <c r="P14" s="88"/>
      <c r="Q14" s="106">
        <v>0</v>
      </c>
      <c r="R14" s="106">
        <v>160000</v>
      </c>
      <c r="S14" s="98">
        <v>160000</v>
      </c>
    </row>
    <row r="15" spans="1:20" x14ac:dyDescent="0.2">
      <c r="A15" s="35"/>
      <c r="B15" s="35"/>
      <c r="C15" s="35"/>
      <c r="D15" s="35"/>
      <c r="E15" s="35" t="s">
        <v>5</v>
      </c>
      <c r="F15" s="36"/>
      <c r="G15" s="36">
        <v>24600</v>
      </c>
      <c r="H15" s="36"/>
      <c r="I15" s="54">
        <v>31500</v>
      </c>
      <c r="K15" s="90">
        <v>25000</v>
      </c>
      <c r="L15" s="111"/>
      <c r="M15" s="90">
        <v>0</v>
      </c>
      <c r="N15" s="106">
        <v>0</v>
      </c>
      <c r="O15" s="98">
        <v>0</v>
      </c>
      <c r="P15" s="88"/>
      <c r="Q15" s="106">
        <v>0</v>
      </c>
      <c r="R15" s="106">
        <v>35000</v>
      </c>
      <c r="S15" s="98">
        <v>35000</v>
      </c>
    </row>
    <row r="16" spans="1:20" hidden="1" outlineLevel="1" x14ac:dyDescent="0.2">
      <c r="A16" s="35"/>
      <c r="B16" s="35"/>
      <c r="C16" s="35"/>
      <c r="D16" s="35"/>
      <c r="E16" s="35" t="s">
        <v>131</v>
      </c>
      <c r="F16" s="36"/>
      <c r="G16" s="36">
        <v>0</v>
      </c>
      <c r="H16" s="36"/>
      <c r="I16" s="54">
        <v>0</v>
      </c>
      <c r="K16" s="90"/>
      <c r="L16" s="111"/>
      <c r="M16" s="90"/>
      <c r="N16" s="106"/>
      <c r="O16" s="98">
        <v>0</v>
      </c>
      <c r="P16" s="88"/>
      <c r="Q16" s="106"/>
      <c r="R16" s="106"/>
      <c r="S16" s="98"/>
    </row>
    <row r="17" spans="1:29" outlineLevel="1" x14ac:dyDescent="0.2">
      <c r="A17" s="35"/>
      <c r="B17" s="35"/>
      <c r="C17" s="35"/>
      <c r="D17" s="35"/>
      <c r="E17" s="35" t="s">
        <v>131</v>
      </c>
      <c r="F17" s="36"/>
      <c r="G17" s="36">
        <v>-750</v>
      </c>
      <c r="H17" s="36"/>
      <c r="I17" s="54">
        <v>0</v>
      </c>
      <c r="K17" s="90"/>
      <c r="L17" s="111"/>
      <c r="M17" s="90">
        <v>0</v>
      </c>
      <c r="N17" s="106">
        <v>0</v>
      </c>
      <c r="O17" s="98">
        <v>0</v>
      </c>
      <c r="P17" s="88"/>
      <c r="Q17" s="106">
        <v>0</v>
      </c>
      <c r="R17" s="106">
        <v>0</v>
      </c>
      <c r="S17" s="98">
        <v>0</v>
      </c>
    </row>
    <row r="18" spans="1:29" x14ac:dyDescent="0.2">
      <c r="A18" s="35"/>
      <c r="B18" s="35"/>
      <c r="C18" s="35"/>
      <c r="D18" s="35"/>
      <c r="E18" s="35" t="s">
        <v>127</v>
      </c>
      <c r="F18" s="36"/>
      <c r="G18" s="36">
        <v>0</v>
      </c>
      <c r="H18" s="36"/>
      <c r="I18" s="54">
        <v>0</v>
      </c>
      <c r="K18" s="90">
        <v>0</v>
      </c>
      <c r="L18" s="111"/>
      <c r="M18" s="90">
        <v>0</v>
      </c>
      <c r="N18" s="106">
        <v>0</v>
      </c>
      <c r="O18" s="98">
        <v>0</v>
      </c>
      <c r="P18" s="88"/>
      <c r="Q18" s="106">
        <v>0</v>
      </c>
      <c r="R18" s="106">
        <v>0</v>
      </c>
      <c r="S18" s="98">
        <v>0</v>
      </c>
      <c r="U18" s="54"/>
    </row>
    <row r="19" spans="1:29" x14ac:dyDescent="0.2">
      <c r="A19" s="35"/>
      <c r="B19" s="35"/>
      <c r="C19" s="35"/>
      <c r="D19" s="35"/>
      <c r="E19" s="35" t="s">
        <v>128</v>
      </c>
      <c r="F19" s="36"/>
      <c r="G19" s="36">
        <v>70</v>
      </c>
      <c r="H19" s="36"/>
      <c r="I19" s="54">
        <v>0</v>
      </c>
      <c r="K19" s="90">
        <v>0</v>
      </c>
      <c r="L19" s="111"/>
      <c r="M19" s="90">
        <v>0</v>
      </c>
      <c r="N19" s="106">
        <v>0</v>
      </c>
      <c r="O19" s="98">
        <v>0</v>
      </c>
      <c r="P19" s="88"/>
      <c r="Q19" s="106">
        <v>0</v>
      </c>
      <c r="R19" s="106">
        <v>0</v>
      </c>
      <c r="S19" s="98">
        <v>0</v>
      </c>
      <c r="U19" s="54"/>
    </row>
    <row r="20" spans="1:29" x14ac:dyDescent="0.2">
      <c r="A20" s="35"/>
      <c r="B20" s="35"/>
      <c r="C20" s="35"/>
      <c r="D20" s="35"/>
      <c r="E20" s="35" t="s">
        <v>6</v>
      </c>
      <c r="F20" s="126"/>
      <c r="G20" s="126">
        <v>2025.76</v>
      </c>
      <c r="H20" s="126"/>
      <c r="I20" s="83">
        <v>1000</v>
      </c>
      <c r="K20" s="90">
        <v>1000</v>
      </c>
      <c r="L20" s="111"/>
      <c r="M20" s="90">
        <v>720</v>
      </c>
      <c r="N20" s="106">
        <v>280</v>
      </c>
      <c r="O20" s="98">
        <v>1000</v>
      </c>
      <c r="P20" s="88"/>
      <c r="Q20" s="106">
        <v>280</v>
      </c>
      <c r="R20" s="106">
        <v>720</v>
      </c>
      <c r="S20" s="98">
        <v>1000</v>
      </c>
      <c r="U20" s="54"/>
    </row>
    <row r="21" spans="1:29" ht="16" hidden="1" outlineLevel="1" thickBot="1" x14ac:dyDescent="0.25">
      <c r="A21" s="35"/>
      <c r="B21" s="35"/>
      <c r="C21" s="35"/>
      <c r="D21" s="35"/>
      <c r="E21" s="35" t="s">
        <v>63</v>
      </c>
      <c r="F21" s="36"/>
      <c r="G21" s="39"/>
      <c r="H21" s="36"/>
      <c r="I21" s="60"/>
      <c r="K21" s="90">
        <v>0</v>
      </c>
      <c r="L21" s="111"/>
      <c r="M21" s="92"/>
      <c r="N21" s="85"/>
      <c r="O21" s="121">
        <f>SUM(M21:N21)</f>
        <v>0</v>
      </c>
      <c r="P21" s="88"/>
      <c r="Q21" s="85"/>
      <c r="R21" s="85"/>
      <c r="S21" s="121">
        <v>0</v>
      </c>
    </row>
    <row r="22" spans="1:29" collapsed="1" x14ac:dyDescent="0.2">
      <c r="A22" s="35"/>
      <c r="B22" s="35"/>
      <c r="C22" s="35"/>
      <c r="D22" s="35" t="s">
        <v>7</v>
      </c>
      <c r="E22" s="35"/>
      <c r="F22" s="126"/>
      <c r="G22" s="126">
        <f>ROUND(SUM(G7:G21),5)</f>
        <v>870436.06</v>
      </c>
      <c r="H22" s="126"/>
      <c r="I22" s="83">
        <f>ROUND(SUM(I7:I21),5)</f>
        <v>856385</v>
      </c>
      <c r="K22" s="118">
        <f>ROUND(SUM(K7:K21),5)</f>
        <v>1031742</v>
      </c>
      <c r="L22" s="111"/>
      <c r="M22" s="118">
        <f>SUM(M8:M21)</f>
        <v>594420</v>
      </c>
      <c r="N22" s="117">
        <f>SUM(N8:N21)</f>
        <v>49880</v>
      </c>
      <c r="O22" s="122">
        <f>SUM(O8:O20)</f>
        <v>644300</v>
      </c>
      <c r="P22" s="88"/>
      <c r="Q22" s="117">
        <v>49880</v>
      </c>
      <c r="R22" s="117">
        <v>849705</v>
      </c>
      <c r="S22" s="122">
        <f>SUM(S8:S20)</f>
        <v>899585</v>
      </c>
    </row>
    <row r="23" spans="1:29" x14ac:dyDescent="0.2">
      <c r="A23" s="35"/>
      <c r="B23" s="35"/>
      <c r="C23" s="35"/>
      <c r="D23" s="35" t="s">
        <v>8</v>
      </c>
      <c r="E23" s="35"/>
      <c r="F23" s="36"/>
      <c r="G23" s="36"/>
      <c r="H23" s="36"/>
      <c r="I23" s="54"/>
      <c r="K23" s="90"/>
      <c r="L23" s="111"/>
      <c r="M23" s="90"/>
      <c r="N23" s="106"/>
      <c r="O23" s="98">
        <f>SUM(M23:N23)</f>
        <v>0</v>
      </c>
      <c r="P23" s="88"/>
      <c r="Q23" s="106"/>
      <c r="R23" s="106"/>
      <c r="S23" s="98"/>
    </row>
    <row r="24" spans="1:29" x14ac:dyDescent="0.2">
      <c r="A24" s="35"/>
      <c r="B24" s="35"/>
      <c r="C24" s="35"/>
      <c r="D24" s="35"/>
      <c r="E24" s="35" t="s">
        <v>9</v>
      </c>
      <c r="F24" s="36"/>
      <c r="G24" s="36">
        <v>106596.23</v>
      </c>
      <c r="H24" s="36"/>
      <c r="I24" s="54">
        <v>121300</v>
      </c>
      <c r="K24" s="90">
        <f>+Regional!K23</f>
        <v>117000</v>
      </c>
      <c r="L24" s="111"/>
      <c r="M24" s="90">
        <v>101700</v>
      </c>
      <c r="N24" s="106">
        <v>0</v>
      </c>
      <c r="O24" s="98">
        <v>101700</v>
      </c>
      <c r="P24" s="88"/>
      <c r="Q24" s="106">
        <v>0</v>
      </c>
      <c r="R24" s="106">
        <v>100000</v>
      </c>
      <c r="S24" s="98">
        <v>100000</v>
      </c>
      <c r="W24" s="54"/>
      <c r="AA24" s="54"/>
    </row>
    <row r="25" spans="1:29" x14ac:dyDescent="0.2">
      <c r="A25" s="35"/>
      <c r="B25" s="35"/>
      <c r="C25" s="35"/>
      <c r="D25" s="35"/>
      <c r="E25" s="35" t="s">
        <v>10</v>
      </c>
      <c r="F25" s="36"/>
      <c r="G25" s="36">
        <v>306669.39</v>
      </c>
      <c r="H25" s="36"/>
      <c r="I25" s="54">
        <v>285400</v>
      </c>
      <c r="K25" s="90">
        <f>+Provincial!K20</f>
        <v>293500</v>
      </c>
      <c r="L25" s="111"/>
      <c r="M25" s="90">
        <v>20000</v>
      </c>
      <c r="N25" s="106">
        <v>0</v>
      </c>
      <c r="O25" s="98">
        <v>20000</v>
      </c>
      <c r="P25" s="88"/>
      <c r="Q25" s="106">
        <v>0</v>
      </c>
      <c r="R25" s="106">
        <v>268000</v>
      </c>
      <c r="S25" s="98">
        <v>268000</v>
      </c>
      <c r="AC25" s="54"/>
    </row>
    <row r="26" spans="1:29" x14ac:dyDescent="0.2">
      <c r="A26" s="35"/>
      <c r="B26" s="35"/>
      <c r="C26" s="35"/>
      <c r="D26" s="35"/>
      <c r="E26" s="35" t="s">
        <v>146</v>
      </c>
      <c r="F26" s="36"/>
      <c r="G26" s="36"/>
      <c r="H26" s="36"/>
      <c r="I26" s="54"/>
      <c r="K26" s="90"/>
      <c r="L26" s="111"/>
      <c r="M26" s="90"/>
      <c r="N26" s="106"/>
      <c r="O26" s="98"/>
      <c r="P26" s="88"/>
      <c r="Q26" s="106">
        <v>0</v>
      </c>
      <c r="R26" s="106"/>
      <c r="S26" s="98"/>
      <c r="AC26" s="54"/>
    </row>
    <row r="27" spans="1:29" x14ac:dyDescent="0.2">
      <c r="A27" s="35"/>
      <c r="B27" s="35"/>
      <c r="C27" s="35"/>
      <c r="D27" s="35"/>
      <c r="E27" s="35" t="s">
        <v>11</v>
      </c>
      <c r="F27" s="36"/>
      <c r="G27" s="36">
        <v>72742.34</v>
      </c>
      <c r="H27" s="36"/>
      <c r="I27" s="54">
        <v>73000</v>
      </c>
      <c r="K27" s="90">
        <f>+National!K12</f>
        <v>66000</v>
      </c>
      <c r="L27" s="111"/>
      <c r="M27" s="90">
        <v>1000</v>
      </c>
      <c r="N27" s="106">
        <v>0</v>
      </c>
      <c r="O27" s="98">
        <v>1000</v>
      </c>
      <c r="P27" s="88"/>
      <c r="Q27" s="106">
        <v>0</v>
      </c>
      <c r="R27" s="106">
        <v>70000</v>
      </c>
      <c r="S27" s="98">
        <v>70000</v>
      </c>
    </row>
    <row r="28" spans="1:29" x14ac:dyDescent="0.2">
      <c r="A28" s="35"/>
      <c r="B28" s="35"/>
      <c r="C28" s="35"/>
      <c r="D28" s="35"/>
      <c r="E28" s="35" t="s">
        <v>59</v>
      </c>
      <c r="F28" s="36"/>
      <c r="G28" s="36">
        <v>0</v>
      </c>
      <c r="H28" s="36"/>
      <c r="I28" s="54">
        <v>10000</v>
      </c>
      <c r="K28" s="90">
        <v>10000</v>
      </c>
      <c r="L28" s="111"/>
      <c r="M28" s="90">
        <v>0</v>
      </c>
      <c r="N28" s="106"/>
      <c r="O28" s="98">
        <v>0</v>
      </c>
      <c r="P28" s="88"/>
      <c r="Q28" s="106">
        <v>0</v>
      </c>
      <c r="R28" s="106">
        <v>0</v>
      </c>
      <c r="S28" s="98">
        <v>0</v>
      </c>
    </row>
    <row r="29" spans="1:29" x14ac:dyDescent="0.2">
      <c r="A29" s="35"/>
      <c r="B29" s="35"/>
      <c r="C29" s="35"/>
      <c r="D29" s="35"/>
      <c r="E29" s="35" t="s">
        <v>12</v>
      </c>
      <c r="F29" s="36"/>
      <c r="G29" s="36">
        <v>22216.7</v>
      </c>
      <c r="H29" s="36"/>
      <c r="I29" s="54">
        <v>35000</v>
      </c>
      <c r="K29" s="90">
        <v>10000</v>
      </c>
      <c r="L29" s="111"/>
      <c r="M29" s="90">
        <v>0</v>
      </c>
      <c r="N29" s="106">
        <v>0</v>
      </c>
      <c r="O29" s="98">
        <v>0</v>
      </c>
      <c r="P29" s="88"/>
      <c r="Q29" s="106">
        <v>0</v>
      </c>
      <c r="R29" s="106">
        <v>25000</v>
      </c>
      <c r="S29" s="98">
        <v>25000</v>
      </c>
    </row>
    <row r="30" spans="1:29" x14ac:dyDescent="0.2">
      <c r="A30" s="35"/>
      <c r="B30" s="35"/>
      <c r="C30" s="35"/>
      <c r="D30" s="35"/>
      <c r="E30" s="37" t="s">
        <v>150</v>
      </c>
      <c r="F30" s="38"/>
      <c r="G30" s="38">
        <v>59108.74</v>
      </c>
      <c r="H30" s="38"/>
      <c r="I30" s="55">
        <v>63000</v>
      </c>
      <c r="K30" s="91">
        <f>63000</f>
        <v>63000</v>
      </c>
      <c r="L30" s="112"/>
      <c r="M30" s="91">
        <v>30000</v>
      </c>
      <c r="N30" s="107">
        <v>0</v>
      </c>
      <c r="O30" s="99">
        <v>30000</v>
      </c>
      <c r="P30" s="88"/>
      <c r="Q30" s="106">
        <v>0</v>
      </c>
      <c r="R30" s="107">
        <v>0</v>
      </c>
      <c r="S30" s="99">
        <v>0</v>
      </c>
    </row>
    <row r="31" spans="1:29" ht="16" thickBot="1" x14ac:dyDescent="0.25">
      <c r="A31" s="35"/>
      <c r="B31" s="35"/>
      <c r="C31" s="35"/>
      <c r="D31" s="35"/>
      <c r="E31" s="35" t="s">
        <v>13</v>
      </c>
      <c r="F31" s="36"/>
      <c r="G31" s="36">
        <v>3957.34</v>
      </c>
      <c r="H31" s="36"/>
      <c r="I31" s="54">
        <v>6000</v>
      </c>
      <c r="K31" s="90">
        <v>6000</v>
      </c>
      <c r="L31" s="111"/>
      <c r="M31" s="90">
        <v>0</v>
      </c>
      <c r="N31" s="106">
        <v>0</v>
      </c>
      <c r="O31" s="98">
        <v>0</v>
      </c>
      <c r="P31" s="88"/>
      <c r="Q31" s="106">
        <v>0</v>
      </c>
      <c r="R31" s="106">
        <v>0</v>
      </c>
      <c r="S31" s="98">
        <v>0</v>
      </c>
    </row>
    <row r="32" spans="1:29" ht="16" thickBot="1" x14ac:dyDescent="0.25">
      <c r="A32" s="35"/>
      <c r="B32" s="35"/>
      <c r="C32" s="35"/>
      <c r="D32" s="35" t="s">
        <v>14</v>
      </c>
      <c r="E32" s="35"/>
      <c r="F32" s="36"/>
      <c r="G32" s="40">
        <f>ROUND(SUM(G23:G31),5)</f>
        <v>571290.74</v>
      </c>
      <c r="H32" s="36"/>
      <c r="I32" s="56">
        <f>ROUND(SUM(I23:I31),5)</f>
        <v>593700</v>
      </c>
      <c r="K32" s="93">
        <f>ROUND(SUM(K23:K31),5)</f>
        <v>565500</v>
      </c>
      <c r="L32" s="111"/>
      <c r="M32" s="118">
        <f t="shared" ref="M32:N32" si="0">ROUND(SUM(M23:M31),5)</f>
        <v>152700</v>
      </c>
      <c r="N32" s="117">
        <f t="shared" si="0"/>
        <v>0</v>
      </c>
      <c r="O32" s="122">
        <f>SUM(O24:O31)</f>
        <v>152700</v>
      </c>
      <c r="P32" s="88"/>
      <c r="Q32" s="117">
        <v>0</v>
      </c>
      <c r="R32" s="117">
        <v>463000</v>
      </c>
      <c r="S32" s="122">
        <f>SUM(S24:S31)</f>
        <v>463000</v>
      </c>
    </row>
    <row r="33" spans="1:21" x14ac:dyDescent="0.2">
      <c r="A33" s="35"/>
      <c r="B33" s="35"/>
      <c r="C33" s="35" t="s">
        <v>15</v>
      </c>
      <c r="D33" s="35"/>
      <c r="E33" s="35"/>
      <c r="F33" s="36"/>
      <c r="G33" s="36">
        <f>ROUND(G22-G32,5)</f>
        <v>299145.32</v>
      </c>
      <c r="H33" s="36"/>
      <c r="I33" s="54">
        <f>ROUND(I22-I32,5)</f>
        <v>262685</v>
      </c>
      <c r="K33" s="90">
        <f>ROUND(K22-K32,5)</f>
        <v>466242</v>
      </c>
      <c r="L33" s="111"/>
      <c r="M33" s="90">
        <f>M22-M32</f>
        <v>441720</v>
      </c>
      <c r="N33" s="106">
        <f>N22-N32</f>
        <v>49880</v>
      </c>
      <c r="O33" s="98">
        <f>SUM(M33:N33)</f>
        <v>491600</v>
      </c>
      <c r="P33" s="88"/>
      <c r="Q33" s="106">
        <v>49880</v>
      </c>
      <c r="R33" s="106">
        <v>386705</v>
      </c>
      <c r="S33" s="98">
        <f>S22-S32</f>
        <v>436585</v>
      </c>
    </row>
    <row r="34" spans="1:21" x14ac:dyDescent="0.2">
      <c r="A34" s="35"/>
      <c r="B34" s="35"/>
      <c r="C34" s="35"/>
      <c r="D34" s="35" t="s">
        <v>132</v>
      </c>
      <c r="E34" s="35"/>
      <c r="F34" s="36"/>
      <c r="G34" s="36"/>
      <c r="H34" s="36"/>
      <c r="I34" s="54"/>
      <c r="K34" s="90"/>
      <c r="L34" s="111"/>
      <c r="M34" s="90"/>
      <c r="N34" s="106"/>
      <c r="O34" s="98">
        <f>SUM(M34:N34)</f>
        <v>0</v>
      </c>
      <c r="P34" s="88"/>
      <c r="Q34" s="106">
        <v>0</v>
      </c>
      <c r="R34" s="106"/>
      <c r="S34" s="98"/>
    </row>
    <row r="35" spans="1:21" x14ac:dyDescent="0.2">
      <c r="A35" s="35"/>
      <c r="B35" s="35"/>
      <c r="C35" s="35"/>
      <c r="D35" s="35"/>
      <c r="E35" s="35" t="s">
        <v>147</v>
      </c>
      <c r="F35" s="36"/>
      <c r="G35" s="36">
        <v>0</v>
      </c>
      <c r="H35" s="36"/>
      <c r="I35" s="54">
        <v>0</v>
      </c>
      <c r="K35" s="90"/>
      <c r="L35" s="111"/>
      <c r="M35" s="90"/>
      <c r="N35" s="106"/>
      <c r="O35" s="98"/>
      <c r="P35" s="88"/>
      <c r="Q35" s="106">
        <v>0</v>
      </c>
      <c r="R35" s="106"/>
      <c r="S35" s="98"/>
    </row>
    <row r="36" spans="1:21" x14ac:dyDescent="0.2">
      <c r="A36" s="35"/>
      <c r="B36" s="35"/>
      <c r="C36" s="35"/>
      <c r="D36" s="35"/>
      <c r="E36" s="35" t="s">
        <v>16</v>
      </c>
      <c r="F36" s="36"/>
      <c r="G36" s="36">
        <v>17409.54</v>
      </c>
      <c r="H36" s="36"/>
      <c r="I36" s="54">
        <v>15000</v>
      </c>
      <c r="K36" s="90">
        <v>16000</v>
      </c>
      <c r="L36" s="111"/>
      <c r="M36" s="90">
        <v>0</v>
      </c>
      <c r="N36" s="106">
        <v>15000</v>
      </c>
      <c r="O36" s="98">
        <v>15000</v>
      </c>
      <c r="P36" s="88"/>
      <c r="Q36" s="106">
        <v>15000</v>
      </c>
      <c r="R36" s="106">
        <v>0</v>
      </c>
      <c r="S36" s="98">
        <v>15000</v>
      </c>
      <c r="U36" s="24"/>
    </row>
    <row r="37" spans="1:21" x14ac:dyDescent="0.2">
      <c r="A37" s="35"/>
      <c r="B37" s="35"/>
      <c r="C37" s="35"/>
      <c r="D37" s="35"/>
      <c r="E37" s="35" t="s">
        <v>17</v>
      </c>
      <c r="F37" s="36"/>
      <c r="G37" s="36">
        <v>8645.36</v>
      </c>
      <c r="H37" s="36"/>
      <c r="I37" s="54">
        <v>20000</v>
      </c>
      <c r="K37" s="90">
        <v>9000</v>
      </c>
      <c r="L37" s="111"/>
      <c r="M37" s="90">
        <v>3000</v>
      </c>
      <c r="N37" s="106">
        <v>3750</v>
      </c>
      <c r="O37" s="98">
        <v>6750</v>
      </c>
      <c r="P37" s="88"/>
      <c r="Q37" s="106">
        <v>3750</v>
      </c>
      <c r="R37" s="106">
        <v>4250</v>
      </c>
      <c r="S37" s="98">
        <v>8000</v>
      </c>
      <c r="U37" s="24"/>
    </row>
    <row r="38" spans="1:21" x14ac:dyDescent="0.2">
      <c r="A38" s="35"/>
      <c r="B38" s="35"/>
      <c r="C38" s="35"/>
      <c r="D38" s="35"/>
      <c r="E38" s="35" t="s">
        <v>18</v>
      </c>
      <c r="F38" s="36"/>
      <c r="G38" s="36">
        <v>4653.93</v>
      </c>
      <c r="H38" s="36"/>
      <c r="I38" s="54">
        <v>14000</v>
      </c>
      <c r="K38" s="90">
        <v>8000</v>
      </c>
      <c r="L38" s="111"/>
      <c r="M38" s="90">
        <v>6600</v>
      </c>
      <c r="N38" s="106">
        <v>1400</v>
      </c>
      <c r="O38" s="98">
        <v>8000</v>
      </c>
      <c r="P38" s="88"/>
      <c r="Q38" s="106">
        <v>1400</v>
      </c>
      <c r="R38" s="106">
        <v>3600</v>
      </c>
      <c r="S38" s="98">
        <v>5000</v>
      </c>
      <c r="U38" s="24"/>
    </row>
    <row r="39" spans="1:21" ht="15.75" customHeight="1" x14ac:dyDescent="0.2">
      <c r="A39" s="35"/>
      <c r="B39" s="35"/>
      <c r="C39" s="35"/>
      <c r="D39" s="35"/>
      <c r="E39" s="35" t="s">
        <v>19</v>
      </c>
      <c r="F39" s="36"/>
      <c r="G39" s="36">
        <v>4702.67</v>
      </c>
      <c r="H39" s="36"/>
      <c r="I39" s="54">
        <v>9000</v>
      </c>
      <c r="K39" s="90">
        <v>6000</v>
      </c>
      <c r="L39" s="111"/>
      <c r="M39" s="90">
        <v>4000</v>
      </c>
      <c r="N39" s="106">
        <v>2000</v>
      </c>
      <c r="O39" s="98">
        <v>6000</v>
      </c>
      <c r="P39" s="88"/>
      <c r="Q39" s="106">
        <v>2000</v>
      </c>
      <c r="R39" s="106">
        <v>3000</v>
      </c>
      <c r="S39" s="98">
        <v>5000</v>
      </c>
      <c r="U39" s="24"/>
    </row>
    <row r="40" spans="1:21" x14ac:dyDescent="0.2">
      <c r="A40" s="35"/>
      <c r="B40" s="35"/>
      <c r="C40" s="35"/>
      <c r="D40" s="35"/>
      <c r="E40" s="35" t="s">
        <v>20</v>
      </c>
      <c r="F40" s="36"/>
      <c r="G40" s="36">
        <v>1925.98</v>
      </c>
      <c r="H40" s="36"/>
      <c r="I40" s="54">
        <v>600</v>
      </c>
      <c r="K40" s="90">
        <v>1600</v>
      </c>
      <c r="L40" s="111"/>
      <c r="M40" s="90">
        <v>500</v>
      </c>
      <c r="N40" s="106">
        <v>200</v>
      </c>
      <c r="O40" s="98">
        <v>700</v>
      </c>
      <c r="P40" s="88"/>
      <c r="Q40" s="106">
        <v>200</v>
      </c>
      <c r="R40" s="106">
        <v>1800</v>
      </c>
      <c r="S40" s="98">
        <v>2000</v>
      </c>
      <c r="U40" s="24"/>
    </row>
    <row r="41" spans="1:21" x14ac:dyDescent="0.2">
      <c r="A41" s="35"/>
      <c r="B41" s="35"/>
      <c r="C41" s="35"/>
      <c r="D41" s="35"/>
      <c r="E41" s="35" t="s">
        <v>21</v>
      </c>
      <c r="F41" s="36"/>
      <c r="G41" s="36">
        <v>27377.7</v>
      </c>
      <c r="H41" s="36"/>
      <c r="I41" s="54">
        <v>20000</v>
      </c>
      <c r="K41" s="90">
        <v>12000</v>
      </c>
      <c r="L41" s="111"/>
      <c r="M41" s="90">
        <v>10800</v>
      </c>
      <c r="N41" s="106">
        <v>1200</v>
      </c>
      <c r="O41" s="98">
        <v>12000</v>
      </c>
      <c r="P41" s="88"/>
      <c r="Q41" s="106">
        <v>1200</v>
      </c>
      <c r="R41" s="106">
        <v>13800</v>
      </c>
      <c r="S41" s="98">
        <v>15000</v>
      </c>
      <c r="U41" s="24"/>
    </row>
    <row r="42" spans="1:21" x14ac:dyDescent="0.2">
      <c r="A42" s="35"/>
      <c r="B42" s="35"/>
      <c r="C42" s="35"/>
      <c r="D42" s="35"/>
      <c r="E42" s="35" t="s">
        <v>22</v>
      </c>
      <c r="F42" s="36"/>
      <c r="G42" s="36">
        <v>420</v>
      </c>
      <c r="H42" s="36"/>
      <c r="I42" s="54">
        <v>1000</v>
      </c>
      <c r="K42" s="90">
        <v>1000</v>
      </c>
      <c r="L42" s="111"/>
      <c r="M42" s="90">
        <v>700</v>
      </c>
      <c r="N42" s="106">
        <v>300</v>
      </c>
      <c r="O42" s="98">
        <v>1000</v>
      </c>
      <c r="P42" s="88"/>
      <c r="Q42" s="106">
        <v>300</v>
      </c>
      <c r="R42" s="106">
        <v>400</v>
      </c>
      <c r="S42" s="98">
        <v>700</v>
      </c>
      <c r="U42" s="24"/>
    </row>
    <row r="43" spans="1:21" x14ac:dyDescent="0.2">
      <c r="A43" s="35"/>
      <c r="B43" s="35"/>
      <c r="C43" s="35"/>
      <c r="D43" s="35"/>
      <c r="E43" s="35" t="s">
        <v>23</v>
      </c>
      <c r="F43" s="36"/>
      <c r="G43" s="36">
        <v>4476.57</v>
      </c>
      <c r="H43" s="36"/>
      <c r="I43" s="54">
        <v>6000</v>
      </c>
      <c r="K43" s="90">
        <v>4000</v>
      </c>
      <c r="L43" s="111"/>
      <c r="M43" s="90">
        <v>2800</v>
      </c>
      <c r="N43" s="106">
        <v>1200</v>
      </c>
      <c r="O43" s="98">
        <v>4000</v>
      </c>
      <c r="P43" s="88"/>
      <c r="Q43" s="106">
        <v>1200</v>
      </c>
      <c r="R43" s="106">
        <v>2800</v>
      </c>
      <c r="S43" s="98">
        <v>4000</v>
      </c>
      <c r="U43" s="24"/>
    </row>
    <row r="44" spans="1:21" x14ac:dyDescent="0.2">
      <c r="A44" s="35"/>
      <c r="B44" s="35"/>
      <c r="C44" s="35"/>
      <c r="D44" s="35"/>
      <c r="E44" s="35" t="s">
        <v>24</v>
      </c>
      <c r="F44" s="36"/>
      <c r="G44" s="36">
        <v>1479.07</v>
      </c>
      <c r="H44" s="36"/>
      <c r="I44" s="54">
        <v>7000</v>
      </c>
      <c r="K44" s="90">
        <v>2500</v>
      </c>
      <c r="L44" s="111"/>
      <c r="M44" s="90">
        <v>1500</v>
      </c>
      <c r="N44" s="106">
        <v>100</v>
      </c>
      <c r="O44" s="98">
        <v>1600</v>
      </c>
      <c r="P44" s="88"/>
      <c r="Q44" s="106">
        <v>100</v>
      </c>
      <c r="R44" s="106">
        <v>900</v>
      </c>
      <c r="S44" s="98">
        <v>1000</v>
      </c>
      <c r="U44" s="24"/>
    </row>
    <row r="45" spans="1:21" x14ac:dyDescent="0.2">
      <c r="A45" s="35"/>
      <c r="B45" s="35"/>
      <c r="C45" s="35"/>
      <c r="D45" s="35"/>
      <c r="E45" s="35" t="s">
        <v>25</v>
      </c>
      <c r="F45" s="36"/>
      <c r="G45" s="36">
        <v>38.119999999999997</v>
      </c>
      <c r="H45" s="36"/>
      <c r="I45" s="54">
        <v>1500</v>
      </c>
      <c r="K45" s="90">
        <v>800</v>
      </c>
      <c r="L45" s="111"/>
      <c r="M45" s="90">
        <v>600</v>
      </c>
      <c r="N45" s="106">
        <v>0</v>
      </c>
      <c r="O45" s="98">
        <v>600</v>
      </c>
      <c r="P45" s="88"/>
      <c r="Q45" s="106">
        <v>0</v>
      </c>
      <c r="R45" s="106">
        <v>250</v>
      </c>
      <c r="S45" s="98">
        <v>250</v>
      </c>
      <c r="U45" s="24"/>
    </row>
    <row r="46" spans="1:21" x14ac:dyDescent="0.2">
      <c r="A46" s="35"/>
      <c r="B46" s="35"/>
      <c r="C46" s="35"/>
      <c r="D46" s="35"/>
      <c r="E46" s="35" t="s">
        <v>26</v>
      </c>
      <c r="F46" s="36"/>
      <c r="G46" s="36">
        <v>58793.31</v>
      </c>
      <c r="H46" s="36"/>
      <c r="I46" s="54">
        <v>68500</v>
      </c>
      <c r="K46" s="90">
        <v>65000</v>
      </c>
      <c r="L46" s="111"/>
      <c r="M46" s="90">
        <v>39500</v>
      </c>
      <c r="N46" s="106">
        <v>25500</v>
      </c>
      <c r="O46" s="98">
        <v>65000</v>
      </c>
      <c r="P46" s="88"/>
      <c r="Q46" s="106">
        <v>25500</v>
      </c>
      <c r="R46" s="106">
        <v>36500</v>
      </c>
      <c r="S46" s="98">
        <v>62000</v>
      </c>
      <c r="U46" s="24"/>
    </row>
    <row r="47" spans="1:21" x14ac:dyDescent="0.2">
      <c r="A47" s="35"/>
      <c r="B47" s="35"/>
      <c r="C47" s="35"/>
      <c r="D47" s="35"/>
      <c r="E47" s="35" t="s">
        <v>27</v>
      </c>
      <c r="F47" s="36"/>
      <c r="G47" s="36">
        <v>5014.76</v>
      </c>
      <c r="H47" s="36"/>
      <c r="I47" s="54">
        <v>7200</v>
      </c>
      <c r="K47" s="90">
        <v>7000</v>
      </c>
      <c r="L47" s="111"/>
      <c r="M47" s="90">
        <v>4500</v>
      </c>
      <c r="N47" s="106">
        <v>2500</v>
      </c>
      <c r="O47" s="98">
        <v>7000</v>
      </c>
      <c r="P47" s="88"/>
      <c r="Q47" s="106">
        <v>2500</v>
      </c>
      <c r="R47" s="106">
        <v>3500</v>
      </c>
      <c r="S47" s="98">
        <v>6000</v>
      </c>
      <c r="U47" s="24"/>
    </row>
    <row r="48" spans="1:21" x14ac:dyDescent="0.2">
      <c r="A48" s="35"/>
      <c r="B48" s="35"/>
      <c r="C48" s="35"/>
      <c r="D48" s="35"/>
      <c r="E48" s="35" t="s">
        <v>28</v>
      </c>
      <c r="F48" s="36"/>
      <c r="G48" s="36">
        <v>9022.7000000000007</v>
      </c>
      <c r="H48" s="36"/>
      <c r="I48" s="54">
        <v>20000</v>
      </c>
      <c r="K48" s="90">
        <v>15000</v>
      </c>
      <c r="L48" s="111"/>
      <c r="M48" s="90">
        <v>5000</v>
      </c>
      <c r="N48" s="106">
        <v>5000</v>
      </c>
      <c r="O48" s="98">
        <v>10000</v>
      </c>
      <c r="P48" s="88"/>
      <c r="Q48" s="106">
        <v>5000</v>
      </c>
      <c r="R48" s="106">
        <v>5000</v>
      </c>
      <c r="S48" s="98">
        <v>10000</v>
      </c>
      <c r="U48" s="24"/>
    </row>
    <row r="49" spans="1:21" x14ac:dyDescent="0.2">
      <c r="A49" s="35"/>
      <c r="B49" s="35"/>
      <c r="C49" s="35"/>
      <c r="D49" s="35"/>
      <c r="E49" s="80" t="s">
        <v>130</v>
      </c>
      <c r="F49" s="36"/>
      <c r="G49" s="36">
        <f>253406.02+13801.22+7881+1177.68+13980.98</f>
        <v>290246.89999999997</v>
      </c>
      <c r="H49" s="36"/>
      <c r="I49" s="54">
        <f>205000+55000+15600+15600+14600+1400</f>
        <v>307200</v>
      </c>
      <c r="K49" s="90">
        <f>270000+16200+10000+800</f>
        <v>297000</v>
      </c>
      <c r="L49" s="111"/>
      <c r="M49" s="90">
        <v>202570</v>
      </c>
      <c r="N49" s="106">
        <f>94430-5000</f>
        <v>89430</v>
      </c>
      <c r="O49" s="98">
        <v>292000</v>
      </c>
      <c r="P49" s="88"/>
      <c r="Q49" s="106">
        <v>89430</v>
      </c>
      <c r="R49" s="106">
        <v>202570</v>
      </c>
      <c r="S49" s="98">
        <v>292000</v>
      </c>
      <c r="U49" s="24"/>
    </row>
    <row r="50" spans="1:21" hidden="1" outlineLevel="1" x14ac:dyDescent="0.2">
      <c r="A50" s="35"/>
      <c r="B50" s="35"/>
      <c r="C50" s="35"/>
      <c r="D50" s="35"/>
      <c r="E50" s="35" t="s">
        <v>30</v>
      </c>
      <c r="F50" s="36"/>
      <c r="G50" s="36">
        <f>7090.22-7090.22</f>
        <v>0</v>
      </c>
      <c r="H50" s="36"/>
      <c r="I50" s="54">
        <f>260000*0.06-15600</f>
        <v>0</v>
      </c>
      <c r="K50" s="90">
        <v>0</v>
      </c>
      <c r="L50" s="111"/>
      <c r="M50" s="90"/>
      <c r="N50" s="106"/>
      <c r="O50" s="98">
        <v>0</v>
      </c>
      <c r="P50" s="88"/>
      <c r="Q50" s="106">
        <v>0</v>
      </c>
      <c r="R50" s="106">
        <v>0</v>
      </c>
      <c r="S50" s="98"/>
      <c r="U50" s="24"/>
    </row>
    <row r="51" spans="1:21" hidden="1" outlineLevel="1" x14ac:dyDescent="0.2">
      <c r="A51" s="35"/>
      <c r="B51" s="35"/>
      <c r="C51" s="35"/>
      <c r="D51" s="35"/>
      <c r="E51" s="35" t="s">
        <v>31</v>
      </c>
      <c r="F51" s="36"/>
      <c r="G51" s="36">
        <f>12686.87-12686.87</f>
        <v>0</v>
      </c>
      <c r="H51" s="36"/>
      <c r="I51" s="54">
        <f>260000*0.06-15600</f>
        <v>0</v>
      </c>
      <c r="K51" s="90">
        <f>270000*0.06-16200</f>
        <v>0</v>
      </c>
      <c r="L51" s="111"/>
      <c r="M51" s="90"/>
      <c r="N51" s="106"/>
      <c r="O51" s="98">
        <v>0</v>
      </c>
      <c r="P51" s="88"/>
      <c r="Q51" s="106">
        <v>0</v>
      </c>
      <c r="R51" s="106">
        <v>0</v>
      </c>
      <c r="S51" s="98"/>
      <c r="U51" s="24"/>
    </row>
    <row r="52" spans="1:21" hidden="1" outlineLevel="1" x14ac:dyDescent="0.2">
      <c r="A52" s="35"/>
      <c r="B52" s="35"/>
      <c r="C52" s="35"/>
      <c r="D52" s="35"/>
      <c r="E52" s="35" t="s">
        <v>32</v>
      </c>
      <c r="F52" s="36"/>
      <c r="G52" s="36">
        <f>7885-7885</f>
        <v>0</v>
      </c>
      <c r="H52" s="36"/>
      <c r="I52" s="54">
        <f>8000+6600-14600</f>
        <v>0</v>
      </c>
      <c r="K52" s="90">
        <f>10000-10000</f>
        <v>0</v>
      </c>
      <c r="L52" s="111"/>
      <c r="M52" s="90"/>
      <c r="N52" s="106"/>
      <c r="O52" s="98">
        <v>0</v>
      </c>
      <c r="P52" s="88"/>
      <c r="Q52" s="106">
        <v>0</v>
      </c>
      <c r="R52" s="106">
        <v>0</v>
      </c>
      <c r="S52" s="98"/>
      <c r="U52" s="24"/>
    </row>
    <row r="53" spans="1:21" ht="16.5" customHeight="1" collapsed="1" thickBot="1" x14ac:dyDescent="0.25">
      <c r="A53" s="35"/>
      <c r="B53" s="35"/>
      <c r="C53" s="35"/>
      <c r="D53" s="35"/>
      <c r="E53" s="35" t="s">
        <v>33</v>
      </c>
      <c r="F53" s="36"/>
      <c r="G53" s="36">
        <v>1221.8499999999999</v>
      </c>
      <c r="H53" s="36"/>
      <c r="I53" s="54">
        <v>2000</v>
      </c>
      <c r="K53" s="90">
        <v>2000</v>
      </c>
      <c r="L53" s="111"/>
      <c r="M53" s="90">
        <v>1400</v>
      </c>
      <c r="N53" s="106">
        <v>600</v>
      </c>
      <c r="O53" s="98">
        <v>2000</v>
      </c>
      <c r="P53" s="88"/>
      <c r="Q53" s="106">
        <v>600</v>
      </c>
      <c r="R53" s="106">
        <v>400</v>
      </c>
      <c r="S53" s="98">
        <v>1000</v>
      </c>
      <c r="U53" s="24"/>
    </row>
    <row r="54" spans="1:21" ht="16" hidden="1" outlineLevel="1" thickBot="1" x14ac:dyDescent="0.25">
      <c r="A54" s="35"/>
      <c r="B54" s="35"/>
      <c r="C54" s="35"/>
      <c r="D54" s="35"/>
      <c r="E54" s="35" t="s">
        <v>34</v>
      </c>
      <c r="F54" s="36"/>
      <c r="G54" s="36">
        <f>1145.5-1145.5</f>
        <v>0</v>
      </c>
      <c r="H54" s="36"/>
      <c r="I54" s="54">
        <f>1400-1400</f>
        <v>0</v>
      </c>
      <c r="K54" s="90">
        <f>800-800</f>
        <v>0</v>
      </c>
      <c r="L54" s="111"/>
      <c r="M54" s="90"/>
      <c r="N54" s="106"/>
      <c r="O54" s="98">
        <f>SUM(M54:N54)</f>
        <v>0</v>
      </c>
      <c r="P54" s="88"/>
      <c r="Q54" s="106"/>
      <c r="R54" s="106"/>
      <c r="S54" s="98"/>
      <c r="U54" s="24"/>
    </row>
    <row r="55" spans="1:21" ht="16" collapsed="1" thickBot="1" x14ac:dyDescent="0.25">
      <c r="A55" s="35"/>
      <c r="B55" s="35"/>
      <c r="C55" s="35"/>
      <c r="D55" s="35" t="s">
        <v>133</v>
      </c>
      <c r="E55" s="35"/>
      <c r="F55" s="36"/>
      <c r="G55" s="40">
        <f>ROUND(SUM(G34:G54),5)</f>
        <v>435428.46</v>
      </c>
      <c r="H55" s="36"/>
      <c r="I55" s="56">
        <f>ROUND(SUM(I34:I54),5)</f>
        <v>499000</v>
      </c>
      <c r="K55" s="93">
        <f>ROUND(SUM(K34:K54),5)</f>
        <v>446900</v>
      </c>
      <c r="L55" s="111"/>
      <c r="M55" s="118">
        <f>SUM(M36:M54)</f>
        <v>283470</v>
      </c>
      <c r="N55" s="117">
        <f>SUM(N36:N54)</f>
        <v>148180</v>
      </c>
      <c r="O55" s="122">
        <f>SUM(O36:O53)</f>
        <v>431650</v>
      </c>
      <c r="P55" s="88"/>
      <c r="Q55" s="117">
        <v>148180</v>
      </c>
      <c r="R55" s="117">
        <v>278770</v>
      </c>
      <c r="S55" s="122">
        <f>SUM(S36:S53)</f>
        <v>426950</v>
      </c>
      <c r="U55" s="24"/>
    </row>
    <row r="56" spans="1:21" ht="16" thickBot="1" x14ac:dyDescent="0.25">
      <c r="A56" s="35"/>
      <c r="B56" s="35" t="s">
        <v>129</v>
      </c>
      <c r="C56" s="35"/>
      <c r="D56" s="35"/>
      <c r="E56" s="35"/>
      <c r="F56" s="36"/>
      <c r="G56" s="36">
        <f>ROUND(G6+G33-G55,5)</f>
        <v>-136283.14000000001</v>
      </c>
      <c r="H56" s="36"/>
      <c r="I56" s="54">
        <f>ROUND(I6+I33-I55,5)</f>
        <v>-236315</v>
      </c>
      <c r="K56" s="94">
        <f>ROUND(K6+K33-K55,5)</f>
        <v>19342</v>
      </c>
      <c r="L56" s="111"/>
      <c r="M56" s="124">
        <f>M33-M55</f>
        <v>158250</v>
      </c>
      <c r="N56" s="125">
        <f>N33-N55</f>
        <v>-98300</v>
      </c>
      <c r="O56" s="123">
        <f>O33-O55</f>
        <v>59950</v>
      </c>
      <c r="P56" s="88"/>
      <c r="Q56" s="125">
        <v>-98300</v>
      </c>
      <c r="R56" s="125">
        <v>107935</v>
      </c>
      <c r="S56" s="123">
        <f>S33-S55</f>
        <v>9635</v>
      </c>
    </row>
    <row r="57" spans="1:21" hidden="1" outlineLevel="1" x14ac:dyDescent="0.2">
      <c r="A57" s="35"/>
      <c r="B57" s="35" t="s">
        <v>60</v>
      </c>
      <c r="C57" s="35"/>
      <c r="D57" s="35"/>
      <c r="E57" s="35"/>
      <c r="F57" s="36"/>
      <c r="G57" s="36"/>
      <c r="H57" s="36"/>
      <c r="I57" s="54"/>
      <c r="K57" s="72"/>
      <c r="L57" s="111"/>
      <c r="M57" s="72"/>
      <c r="N57" s="72"/>
      <c r="O57" s="72"/>
      <c r="P57" s="35"/>
      <c r="Q57" s="72"/>
      <c r="R57" s="72"/>
      <c r="S57" s="72"/>
    </row>
    <row r="58" spans="1:21" hidden="1" outlineLevel="1" x14ac:dyDescent="0.2">
      <c r="A58" s="35"/>
      <c r="B58" s="35" t="s">
        <v>61</v>
      </c>
      <c r="C58" s="41"/>
      <c r="D58" s="41"/>
      <c r="E58" s="41"/>
      <c r="F58" s="36"/>
      <c r="G58" s="36"/>
      <c r="H58" s="36"/>
      <c r="I58" s="54"/>
      <c r="K58" s="72"/>
      <c r="L58" s="111"/>
      <c r="M58" s="72"/>
      <c r="N58" s="72"/>
      <c r="O58" s="72"/>
      <c r="P58" s="35"/>
      <c r="Q58" s="72"/>
      <c r="R58" s="72"/>
      <c r="S58" s="72"/>
    </row>
    <row r="59" spans="1:21" ht="16" hidden="1" outlineLevel="1" thickBot="1" x14ac:dyDescent="0.25">
      <c r="A59" s="35" t="s">
        <v>35</v>
      </c>
      <c r="B59" s="35"/>
      <c r="C59" s="35"/>
      <c r="D59" s="35"/>
      <c r="E59" s="41"/>
      <c r="F59" s="43"/>
      <c r="G59" s="42">
        <f>ROUND(G56+G58,5)</f>
        <v>-136283.14000000001</v>
      </c>
      <c r="H59" s="43"/>
      <c r="I59" s="61">
        <f>ROUND(I56+I58,5)</f>
        <v>-236315</v>
      </c>
      <c r="K59" s="73">
        <f>ROUND(K56+K58,5)</f>
        <v>19342</v>
      </c>
      <c r="L59" s="103"/>
      <c r="M59" s="84"/>
      <c r="N59" s="84"/>
      <c r="O59" s="84"/>
      <c r="P59" s="35"/>
      <c r="Q59" s="84"/>
      <c r="R59" s="84"/>
      <c r="S59" s="84"/>
    </row>
    <row r="60" spans="1:21" ht="6.75" hidden="1" customHeight="1" outlineLevel="1" thickTop="1" x14ac:dyDescent="0.2">
      <c r="A60" s="35"/>
      <c r="B60" s="35"/>
      <c r="C60" s="35"/>
      <c r="D60" s="35"/>
      <c r="E60" s="41"/>
      <c r="F60" s="43"/>
      <c r="G60" s="43"/>
      <c r="H60" s="43"/>
      <c r="I60" s="62"/>
      <c r="K60" s="74"/>
      <c r="L60" s="103"/>
      <c r="M60" s="74"/>
      <c r="N60" s="74"/>
      <c r="O60" s="74"/>
      <c r="P60" s="35"/>
      <c r="Q60" s="74"/>
      <c r="R60" s="74"/>
      <c r="S60" s="74"/>
    </row>
    <row r="61" spans="1:21" collapsed="1" x14ac:dyDescent="0.2">
      <c r="A61" s="35" t="s">
        <v>56</v>
      </c>
      <c r="B61" s="11"/>
      <c r="C61" s="11"/>
      <c r="D61" s="11"/>
      <c r="E61" s="11"/>
      <c r="F61" s="18"/>
      <c r="G61" s="18"/>
      <c r="H61" s="18"/>
      <c r="I61" s="63"/>
      <c r="K61" s="113"/>
      <c r="L61" s="113"/>
      <c r="M61" s="113"/>
      <c r="N61" s="113"/>
      <c r="O61" s="113"/>
      <c r="P61" s="35"/>
      <c r="Q61" s="113"/>
      <c r="R61" s="113"/>
      <c r="S61" s="113"/>
    </row>
    <row r="62" spans="1:21" ht="16" thickBot="1" x14ac:dyDescent="0.25">
      <c r="A62" s="2"/>
      <c r="B62" s="2"/>
      <c r="C62" s="2"/>
      <c r="D62" s="2"/>
      <c r="E62" s="35" t="s">
        <v>29</v>
      </c>
      <c r="F62" s="19"/>
      <c r="G62" s="19">
        <v>5251.04</v>
      </c>
      <c r="H62" s="19"/>
      <c r="I62" s="47"/>
      <c r="K62" s="47"/>
      <c r="L62" s="114"/>
      <c r="M62" s="47"/>
      <c r="N62" s="47"/>
      <c r="O62" s="47"/>
      <c r="P62" s="35"/>
      <c r="Q62" s="47"/>
      <c r="R62" s="47"/>
      <c r="S62" s="47"/>
    </row>
    <row r="63" spans="1:21" ht="16" thickBot="1" x14ac:dyDescent="0.25">
      <c r="A63" s="35" t="s">
        <v>57</v>
      </c>
      <c r="B63" s="11"/>
      <c r="C63" s="11"/>
      <c r="D63" s="11"/>
      <c r="E63" s="11"/>
      <c r="F63" s="20"/>
      <c r="G63" s="20">
        <f>G59-G62</f>
        <v>-141534.18000000002</v>
      </c>
      <c r="H63" s="20"/>
      <c r="I63" s="64">
        <f>I59-I62</f>
        <v>-236315</v>
      </c>
      <c r="K63" s="64">
        <f>K59-K62</f>
        <v>19342</v>
      </c>
      <c r="L63" s="104"/>
      <c r="M63" s="104"/>
      <c r="N63" s="104"/>
      <c r="O63" s="64">
        <f>O56</f>
        <v>59950</v>
      </c>
      <c r="P63" s="35"/>
      <c r="Q63" s="104"/>
      <c r="R63" s="104"/>
      <c r="S63" s="64">
        <f>S56</f>
        <v>9635</v>
      </c>
    </row>
    <row r="64" spans="1:21" ht="16" thickTop="1" x14ac:dyDescent="0.2">
      <c r="A64" s="11"/>
      <c r="B64" s="11"/>
      <c r="C64" s="11"/>
      <c r="D64" s="11"/>
      <c r="E64" s="11"/>
      <c r="F64" s="21"/>
      <c r="G64" s="21">
        <f>G63+141534.18</f>
        <v>0</v>
      </c>
      <c r="H64" s="21"/>
      <c r="I64" s="65"/>
      <c r="K64" s="21"/>
      <c r="L64" s="104"/>
      <c r="M64" s="21"/>
      <c r="N64" s="21"/>
      <c r="O64" s="21"/>
      <c r="P64" s="35"/>
      <c r="Q64" s="21"/>
      <c r="R64" s="21"/>
      <c r="S64" s="21"/>
    </row>
    <row r="65" spans="1:20" x14ac:dyDescent="0.2">
      <c r="A65" s="44" t="s">
        <v>62</v>
      </c>
      <c r="O65" s="24"/>
      <c r="Q65" s="24"/>
      <c r="R65" s="24"/>
      <c r="S65" s="24"/>
    </row>
    <row r="66" spans="1:20" x14ac:dyDescent="0.2">
      <c r="A66" s="75"/>
      <c r="B66" s="76"/>
      <c r="C66" s="77"/>
      <c r="D66" s="77"/>
      <c r="E66" s="77"/>
      <c r="F66" s="57"/>
      <c r="G66" s="57"/>
      <c r="H66" s="57"/>
      <c r="J66" s="135"/>
      <c r="K66" s="57"/>
      <c r="M66" s="57"/>
      <c r="N66" s="57"/>
      <c r="P66" s="78"/>
      <c r="Q66" s="57"/>
      <c r="R66" s="57"/>
      <c r="S66" s="57"/>
    </row>
    <row r="67" spans="1:20" x14ac:dyDescent="0.2">
      <c r="A67" s="75"/>
      <c r="B67" s="76"/>
      <c r="C67" s="77"/>
      <c r="D67" s="77"/>
      <c r="E67" s="77"/>
      <c r="F67" s="57"/>
      <c r="G67" s="57"/>
      <c r="H67" s="57"/>
      <c r="J67" s="135"/>
      <c r="K67" s="57"/>
      <c r="M67" s="57"/>
      <c r="N67" s="57"/>
      <c r="P67" s="78"/>
      <c r="Q67" s="57"/>
      <c r="R67" s="57"/>
      <c r="S67" s="57"/>
    </row>
    <row r="68" spans="1:20" x14ac:dyDescent="0.2">
      <c r="A68" s="75"/>
      <c r="B68" s="76"/>
      <c r="C68" s="77"/>
      <c r="D68" s="77"/>
      <c r="E68" s="77"/>
      <c r="F68" s="57"/>
      <c r="G68" s="57"/>
      <c r="H68" s="57"/>
      <c r="J68" s="135"/>
      <c r="K68" s="57"/>
      <c r="M68" s="57"/>
      <c r="N68" s="57"/>
      <c r="P68" s="78"/>
      <c r="Q68" s="57"/>
      <c r="R68" s="57"/>
      <c r="S68" s="57"/>
    </row>
    <row r="69" spans="1:20" s="78" customFormat="1" x14ac:dyDescent="0.2">
      <c r="A69" s="75"/>
      <c r="B69" s="76"/>
      <c r="C69" s="77"/>
      <c r="D69" s="77"/>
      <c r="E69" s="77"/>
      <c r="F69" s="57"/>
      <c r="G69" s="57"/>
      <c r="H69" s="57"/>
      <c r="I69" s="57"/>
      <c r="K69" s="57"/>
      <c r="L69" s="108"/>
      <c r="M69" s="57"/>
      <c r="N69" s="57"/>
      <c r="O69" s="57"/>
      <c r="Q69" s="57"/>
      <c r="R69" s="57"/>
      <c r="S69" s="57"/>
      <c r="T69" s="54"/>
    </row>
    <row r="70" spans="1:20" s="78" customFormat="1" x14ac:dyDescent="0.2">
      <c r="A70" s="75"/>
      <c r="B70" s="76"/>
      <c r="C70" s="76"/>
      <c r="D70" s="77"/>
      <c r="E70" s="77"/>
      <c r="F70" s="57"/>
      <c r="G70" s="57"/>
      <c r="H70" s="57"/>
      <c r="I70" s="57"/>
      <c r="K70" s="57"/>
      <c r="L70" s="108"/>
      <c r="M70" s="57"/>
      <c r="N70" s="57"/>
      <c r="O70" s="57"/>
      <c r="Q70" s="57"/>
      <c r="R70" s="57"/>
      <c r="S70" s="57"/>
      <c r="T70" s="54"/>
    </row>
    <row r="71" spans="1:20" x14ac:dyDescent="0.2">
      <c r="A71" s="75"/>
      <c r="B71" s="76"/>
      <c r="C71" s="76"/>
      <c r="D71" s="77"/>
      <c r="E71" s="77"/>
      <c r="F71" s="57"/>
      <c r="G71" s="57"/>
      <c r="H71" s="57"/>
      <c r="J71" s="135"/>
      <c r="K71" s="57"/>
      <c r="M71" s="57"/>
      <c r="N71" s="57"/>
      <c r="P71" s="78"/>
      <c r="Q71" s="57"/>
      <c r="R71" s="57"/>
      <c r="S71" s="57"/>
    </row>
    <row r="72" spans="1:20" x14ac:dyDescent="0.2">
      <c r="A72" s="78"/>
      <c r="B72" s="76"/>
      <c r="C72" s="76"/>
      <c r="D72" s="77"/>
      <c r="E72" s="77"/>
      <c r="F72" s="57"/>
      <c r="G72" s="57"/>
      <c r="H72" s="57"/>
      <c r="J72" s="135"/>
      <c r="K72" s="57"/>
      <c r="M72" s="57"/>
      <c r="N72" s="57"/>
      <c r="P72" s="78"/>
      <c r="Q72" s="57"/>
      <c r="R72" s="57"/>
      <c r="S72" s="57"/>
    </row>
    <row r="73" spans="1:20" s="78" customFormat="1" x14ac:dyDescent="0.2">
      <c r="A73" s="75"/>
      <c r="B73" s="76"/>
      <c r="C73" s="76"/>
      <c r="D73" s="77"/>
      <c r="E73" s="77"/>
      <c r="F73" s="57"/>
      <c r="G73" s="57"/>
      <c r="H73" s="57"/>
      <c r="I73" s="57"/>
      <c r="K73" s="57"/>
      <c r="L73" s="108"/>
      <c r="M73" s="57"/>
      <c r="N73" s="57"/>
      <c r="O73" s="57"/>
      <c r="Q73" s="57"/>
      <c r="R73" s="57"/>
      <c r="S73" s="57"/>
      <c r="T73" s="54"/>
    </row>
    <row r="74" spans="1:20" x14ac:dyDescent="0.2">
      <c r="A74" s="75"/>
      <c r="B74" s="76"/>
      <c r="C74" s="77"/>
      <c r="D74" s="77"/>
      <c r="E74" s="77"/>
      <c r="F74" s="57"/>
      <c r="G74" s="57"/>
      <c r="H74" s="57"/>
      <c r="J74" s="135"/>
      <c r="K74" s="57"/>
      <c r="M74" s="57"/>
      <c r="N74" s="57"/>
      <c r="P74" s="78"/>
      <c r="Q74" s="57"/>
      <c r="R74" s="57"/>
      <c r="S74" s="57"/>
    </row>
    <row r="75" spans="1:20" x14ac:dyDescent="0.2">
      <c r="A75" s="75"/>
      <c r="B75" s="76"/>
      <c r="C75" s="75"/>
      <c r="D75" s="75"/>
      <c r="E75" s="75"/>
      <c r="F75" s="57"/>
      <c r="G75" s="57"/>
      <c r="H75" s="57"/>
      <c r="J75" s="135"/>
      <c r="K75" s="57"/>
      <c r="M75" s="57"/>
      <c r="N75" s="57"/>
      <c r="P75" s="78"/>
      <c r="Q75" s="57"/>
      <c r="R75" s="57"/>
      <c r="S75" s="57"/>
    </row>
    <row r="76" spans="1:20" s="78" customFormat="1" ht="16.5" customHeight="1" x14ac:dyDescent="0.2">
      <c r="A76" s="75"/>
      <c r="B76" s="76"/>
      <c r="C76" s="75"/>
      <c r="D76" s="75"/>
      <c r="E76" s="75"/>
      <c r="F76" s="57"/>
      <c r="G76" s="57"/>
      <c r="H76" s="57"/>
      <c r="I76" s="57"/>
      <c r="K76" s="57"/>
      <c r="L76" s="108"/>
      <c r="M76" s="57"/>
      <c r="N76" s="57"/>
      <c r="O76" s="57"/>
      <c r="Q76" s="57"/>
      <c r="R76" s="57"/>
      <c r="S76" s="57"/>
      <c r="T76" s="54"/>
    </row>
    <row r="77" spans="1:20" s="78" customFormat="1" ht="16.5" customHeight="1" x14ac:dyDescent="0.2">
      <c r="B77" s="76"/>
      <c r="C77" s="75"/>
      <c r="D77" s="75"/>
      <c r="E77" s="75"/>
      <c r="F77" s="57"/>
      <c r="G77" s="57"/>
      <c r="H77" s="57"/>
      <c r="I77" s="57"/>
      <c r="K77" s="57"/>
      <c r="L77" s="108"/>
      <c r="M77" s="57"/>
      <c r="N77" s="57"/>
      <c r="O77" s="57"/>
      <c r="Q77" s="57"/>
      <c r="R77" s="57"/>
      <c r="S77" s="57"/>
      <c r="T77" s="54"/>
    </row>
    <row r="78" spans="1:20" s="78" customFormat="1" ht="16.5" customHeight="1" x14ac:dyDescent="0.2">
      <c r="A78" s="75"/>
      <c r="B78" s="76"/>
      <c r="C78" s="75"/>
      <c r="D78" s="75"/>
      <c r="E78" s="75"/>
      <c r="F78" s="57"/>
      <c r="G78" s="57"/>
      <c r="H78" s="57"/>
      <c r="I78" s="57"/>
      <c r="K78" s="57"/>
      <c r="L78" s="108"/>
      <c r="M78" s="57"/>
      <c r="N78" s="57"/>
      <c r="O78" s="57"/>
      <c r="Q78" s="57"/>
      <c r="R78" s="57"/>
      <c r="S78" s="57"/>
      <c r="T78" s="54"/>
    </row>
    <row r="79" spans="1:20" x14ac:dyDescent="0.2">
      <c r="A79" s="75"/>
      <c r="B79" s="75"/>
      <c r="C79" s="75"/>
      <c r="D79" s="75"/>
      <c r="E79" s="75"/>
      <c r="F79" s="57"/>
      <c r="G79" s="57"/>
      <c r="H79" s="57"/>
      <c r="J79" s="135"/>
      <c r="K79" s="57"/>
      <c r="M79" s="57"/>
      <c r="N79" s="57"/>
      <c r="P79" s="78"/>
      <c r="Q79" s="57"/>
      <c r="R79" s="57"/>
      <c r="S79" s="57"/>
    </row>
    <row r="80" spans="1:20" ht="6" customHeight="1" x14ac:dyDescent="0.2">
      <c r="A80" s="75"/>
      <c r="B80" s="75"/>
      <c r="C80" s="78"/>
      <c r="D80" s="75"/>
      <c r="E80" s="75"/>
      <c r="F80" s="57"/>
      <c r="G80" s="75"/>
      <c r="H80" s="57"/>
      <c r="I80" s="75"/>
      <c r="J80" s="135"/>
      <c r="K80" s="105"/>
      <c r="L80" s="115"/>
      <c r="M80" s="105"/>
      <c r="N80" s="105"/>
      <c r="O80" s="105"/>
      <c r="P80" s="78"/>
      <c r="Q80" s="105"/>
      <c r="R80" s="105"/>
      <c r="S80" s="105"/>
    </row>
    <row r="81" spans="1:19" x14ac:dyDescent="0.2">
      <c r="A81" s="75"/>
      <c r="B81" s="75"/>
      <c r="C81" s="75"/>
      <c r="D81" s="76"/>
      <c r="E81" s="75"/>
      <c r="F81" s="57"/>
      <c r="G81" s="54"/>
      <c r="H81" s="57"/>
      <c r="I81" s="78"/>
      <c r="J81" s="135"/>
      <c r="K81" s="57"/>
      <c r="M81" s="57"/>
      <c r="N81" s="57"/>
      <c r="P81" s="78"/>
      <c r="Q81" s="57"/>
      <c r="R81" s="57"/>
      <c r="S81" s="57"/>
    </row>
    <row r="82" spans="1:19" x14ac:dyDescent="0.2">
      <c r="A82" s="75"/>
      <c r="B82" s="75"/>
      <c r="C82" s="75"/>
      <c r="D82" s="76"/>
      <c r="E82" s="75"/>
      <c r="F82" s="57"/>
      <c r="G82" s="54"/>
      <c r="H82" s="57"/>
      <c r="I82" s="78"/>
      <c r="J82" s="135"/>
      <c r="K82" s="57"/>
      <c r="M82" s="57"/>
      <c r="N82" s="57"/>
      <c r="P82" s="78"/>
      <c r="Q82" s="57"/>
      <c r="R82" s="57"/>
      <c r="S82" s="57"/>
    </row>
    <row r="83" spans="1:19" x14ac:dyDescent="0.2">
      <c r="A83" s="75"/>
      <c r="B83" s="75"/>
      <c r="C83" s="75"/>
      <c r="D83" s="76"/>
      <c r="E83" s="75"/>
      <c r="F83" s="57"/>
      <c r="G83" s="54"/>
      <c r="H83" s="57"/>
      <c r="I83" s="78"/>
      <c r="J83" s="135"/>
      <c r="K83" s="57"/>
      <c r="M83" s="57"/>
      <c r="N83" s="57"/>
      <c r="P83" s="78"/>
      <c r="Q83" s="57"/>
      <c r="R83" s="57"/>
      <c r="S83" s="57"/>
    </row>
    <row r="84" spans="1:19" x14ac:dyDescent="0.2">
      <c r="A84" s="75"/>
      <c r="B84" s="75"/>
      <c r="C84" s="75"/>
      <c r="D84" s="76"/>
      <c r="E84" s="75"/>
      <c r="F84" s="57"/>
      <c r="G84" s="54"/>
      <c r="H84" s="57"/>
      <c r="I84" s="78"/>
      <c r="J84" s="135"/>
      <c r="K84" s="57"/>
      <c r="M84" s="57"/>
      <c r="N84" s="57"/>
      <c r="P84" s="78"/>
      <c r="Q84" s="57"/>
      <c r="R84" s="57"/>
      <c r="S84" s="57"/>
    </row>
    <row r="85" spans="1:19" x14ac:dyDescent="0.2">
      <c r="A85" s="41"/>
      <c r="B85" s="41"/>
      <c r="C85" s="41"/>
      <c r="D85" s="41"/>
      <c r="E85" s="41"/>
      <c r="G85" s="36"/>
      <c r="I85" s="36"/>
      <c r="Q85" s="24"/>
      <c r="R85" s="24"/>
      <c r="S85" s="24"/>
    </row>
    <row r="86" spans="1:19" x14ac:dyDescent="0.2">
      <c r="A86" s="41"/>
      <c r="B86" s="41"/>
      <c r="C86" s="41"/>
      <c r="D86" s="41"/>
      <c r="E86" s="41"/>
      <c r="Q86" s="24"/>
      <c r="R86" s="24"/>
      <c r="S86" s="24"/>
    </row>
    <row r="87" spans="1:19" x14ac:dyDescent="0.2">
      <c r="A87" s="41"/>
      <c r="B87" s="41"/>
      <c r="C87" s="41"/>
      <c r="D87" s="41"/>
      <c r="E87" s="41"/>
      <c r="Q87" s="24"/>
      <c r="R87" s="24"/>
      <c r="S87" s="24"/>
    </row>
    <row r="88" spans="1:19" x14ac:dyDescent="0.2">
      <c r="A88" s="41"/>
      <c r="B88" s="41"/>
      <c r="C88" s="41"/>
      <c r="D88" s="41"/>
      <c r="E88" s="41"/>
    </row>
    <row r="89" spans="1:19" x14ac:dyDescent="0.2">
      <c r="A89" s="41"/>
      <c r="B89" s="41"/>
      <c r="C89" s="41"/>
      <c r="D89" s="41"/>
      <c r="E89" s="41"/>
    </row>
    <row r="90" spans="1:19" x14ac:dyDescent="0.2">
      <c r="A90" s="41"/>
      <c r="B90" s="41"/>
      <c r="C90" s="41"/>
      <c r="D90" s="41"/>
      <c r="E90" s="41"/>
    </row>
    <row r="91" spans="1:19" x14ac:dyDescent="0.2">
      <c r="A91" s="41"/>
      <c r="B91" s="41"/>
      <c r="C91" s="41"/>
      <c r="D91" s="41"/>
      <c r="E91" s="41"/>
    </row>
    <row r="92" spans="1:19" x14ac:dyDescent="0.2">
      <c r="A92" s="41"/>
      <c r="B92" s="41"/>
      <c r="C92" s="41"/>
      <c r="D92" s="41"/>
      <c r="E92" s="41"/>
    </row>
    <row r="93" spans="1:19" x14ac:dyDescent="0.2">
      <c r="A93" s="41"/>
      <c r="B93" s="41"/>
      <c r="C93" s="41"/>
      <c r="D93" s="41"/>
      <c r="E93" s="41"/>
    </row>
    <row r="94" spans="1:19" x14ac:dyDescent="0.2">
      <c r="A94" s="41"/>
      <c r="B94" s="41"/>
      <c r="C94" s="41"/>
      <c r="D94" s="41"/>
      <c r="E94" s="41"/>
    </row>
    <row r="95" spans="1:19" x14ac:dyDescent="0.2">
      <c r="A95" s="41"/>
      <c r="B95" s="41"/>
      <c r="C95" s="41"/>
      <c r="D95" s="41"/>
      <c r="E95" s="41"/>
    </row>
    <row r="96" spans="1:19" x14ac:dyDescent="0.2">
      <c r="A96" s="41"/>
      <c r="B96" s="41"/>
      <c r="C96" s="41"/>
      <c r="D96" s="41"/>
      <c r="E96" s="41"/>
    </row>
    <row r="97" spans="1:5" x14ac:dyDescent="0.2">
      <c r="A97" s="41"/>
      <c r="B97" s="41"/>
      <c r="C97" s="41"/>
      <c r="D97" s="41"/>
      <c r="E97" s="41"/>
    </row>
    <row r="98" spans="1:5" x14ac:dyDescent="0.2">
      <c r="A98" s="41"/>
      <c r="B98" s="41"/>
      <c r="C98" s="41"/>
      <c r="D98" s="41"/>
      <c r="E98" s="41"/>
    </row>
    <row r="99" spans="1:5" x14ac:dyDescent="0.2">
      <c r="A99" s="41"/>
      <c r="B99" s="41"/>
      <c r="C99" s="41"/>
      <c r="D99" s="41"/>
      <c r="E99" s="41"/>
    </row>
    <row r="100" spans="1:5" x14ac:dyDescent="0.2">
      <c r="A100" s="41"/>
      <c r="B100" s="41"/>
      <c r="C100" s="41"/>
      <c r="D100" s="41"/>
      <c r="E100" s="41"/>
    </row>
    <row r="101" spans="1:5" x14ac:dyDescent="0.2">
      <c r="A101" s="41"/>
      <c r="B101" s="41"/>
      <c r="C101" s="41"/>
      <c r="D101" s="41"/>
      <c r="E101" s="41"/>
    </row>
    <row r="102" spans="1:5" x14ac:dyDescent="0.2">
      <c r="A102" s="41"/>
      <c r="B102" s="41"/>
      <c r="C102" s="41"/>
      <c r="D102" s="41"/>
      <c r="E102" s="41"/>
    </row>
    <row r="103" spans="1:5" x14ac:dyDescent="0.2">
      <c r="A103" s="41"/>
      <c r="B103" s="41"/>
      <c r="C103" s="41"/>
      <c r="D103" s="41"/>
      <c r="E103" s="41"/>
    </row>
    <row r="104" spans="1:5" x14ac:dyDescent="0.2">
      <c r="A104" s="41"/>
      <c r="B104" s="41"/>
      <c r="C104" s="41"/>
      <c r="D104" s="41"/>
      <c r="E104" s="41"/>
    </row>
    <row r="105" spans="1:5" x14ac:dyDescent="0.2">
      <c r="A105" s="41"/>
      <c r="B105" s="41"/>
      <c r="C105" s="41"/>
      <c r="D105" s="41"/>
      <c r="E105" s="41"/>
    </row>
    <row r="106" spans="1:5" x14ac:dyDescent="0.2">
      <c r="A106" s="41"/>
      <c r="B106" s="41"/>
      <c r="C106" s="41"/>
      <c r="D106" s="41"/>
      <c r="E106" s="41"/>
    </row>
  </sheetData>
  <mergeCells count="1">
    <mergeCell ref="M4:O4"/>
  </mergeCells>
  <pageMargins left="0.70866141732283505" right="0.70866141732283505" top="0.74803149606299202" bottom="0.35433070866141703" header="0.118110236220472" footer="0.31496062992126"/>
  <pageSetup scale="80" fitToHeight="0" orientation="portrait" horizontalDpi="4294967293" verticalDpi="4294967293" r:id="rId1"/>
  <headerFooter>
    <oddFooter>&amp;R&amp;"Arial,Bold"&amp;8 Page &amp;P of &amp;N</oddFooter>
  </headerFooter>
  <rowBreaks count="1" manualBreakCount="1"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22B78-9C9C-4F9F-9281-4829B493C804}">
  <sheetPr codeName="Sheet5">
    <pageSetUpPr fitToPage="1"/>
  </sheetPr>
  <dimension ref="A1:O21"/>
  <sheetViews>
    <sheetView workbookViewId="0">
      <pane xSplit="3" ySplit="4" topLeftCell="J5" activePane="bottomRight" state="frozenSplit"/>
      <selection pane="topRight" activeCell="D1" sqref="D1"/>
      <selection pane="bottomLeft" activeCell="A6" sqref="A6"/>
      <selection pane="bottomRight" activeCell="M17" sqref="M17"/>
    </sheetView>
  </sheetViews>
  <sheetFormatPr baseColWidth="10" defaultColWidth="8.83203125" defaultRowHeight="15" x14ac:dyDescent="0.2"/>
  <cols>
    <col min="1" max="2" width="3" style="11" customWidth="1"/>
    <col min="3" max="3" width="33" style="11" customWidth="1"/>
    <col min="4" max="4" width="14.33203125" style="11" customWidth="1"/>
    <col min="5" max="5" width="13.6640625" bestFit="1" customWidth="1"/>
    <col min="6" max="6" width="2.33203125" customWidth="1"/>
    <col min="7" max="7" width="10.33203125" bestFit="1" customWidth="1"/>
    <col min="8" max="8" width="2.33203125" customWidth="1"/>
    <col min="9" max="9" width="12" bestFit="1" customWidth="1"/>
    <col min="10" max="10" width="2.33203125" customWidth="1"/>
    <col min="11" max="11" width="13.6640625" bestFit="1" customWidth="1"/>
    <col min="12" max="12" width="2.33203125" customWidth="1"/>
    <col min="13" max="13" width="13.6640625" bestFit="1" customWidth="1"/>
    <col min="14" max="14" width="4.6640625" customWidth="1"/>
    <col min="15" max="15" width="9" bestFit="1" customWidth="1"/>
  </cols>
  <sheetData>
    <row r="1" spans="1:15" ht="16" x14ac:dyDescent="0.2">
      <c r="A1" s="3" t="s">
        <v>0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5" ht="18" x14ac:dyDescent="0.2">
      <c r="A2" s="4" t="s">
        <v>46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5" ht="16" thickBot="1" x14ac:dyDescent="0.25">
      <c r="A3" s="2"/>
      <c r="B3" s="2"/>
      <c r="C3" s="2"/>
      <c r="D3" s="2"/>
      <c r="E3" s="6"/>
      <c r="F3" s="5"/>
      <c r="G3" s="6"/>
      <c r="H3" s="5"/>
      <c r="I3" s="6"/>
      <c r="J3" s="5"/>
      <c r="K3" s="6"/>
      <c r="L3" s="5"/>
      <c r="M3" s="6"/>
    </row>
    <row r="4" spans="1:15" s="15" customFormat="1" ht="27" thickTop="1" thickBot="1" x14ac:dyDescent="0.25">
      <c r="A4" s="12"/>
      <c r="B4" s="12"/>
      <c r="C4" s="12"/>
      <c r="D4" s="16" t="s">
        <v>123</v>
      </c>
      <c r="E4" s="16" t="s">
        <v>125</v>
      </c>
      <c r="F4" s="14"/>
      <c r="G4" s="13" t="s">
        <v>49</v>
      </c>
      <c r="H4" s="14"/>
      <c r="I4" s="13" t="s">
        <v>38</v>
      </c>
      <c r="J4" s="14"/>
      <c r="K4" s="66" t="s">
        <v>94</v>
      </c>
      <c r="L4" s="14"/>
      <c r="M4" s="66" t="s">
        <v>159</v>
      </c>
      <c r="O4" s="66" t="s">
        <v>160</v>
      </c>
    </row>
    <row r="5" spans="1:15" ht="16" thickTop="1" x14ac:dyDescent="0.2">
      <c r="A5" s="2"/>
      <c r="B5" s="2" t="s">
        <v>47</v>
      </c>
      <c r="C5" s="2"/>
      <c r="D5" s="2"/>
      <c r="E5" s="7"/>
      <c r="F5" s="8"/>
      <c r="G5" s="7"/>
      <c r="H5" s="8"/>
      <c r="I5" s="7"/>
      <c r="J5" s="8"/>
      <c r="K5" s="67"/>
      <c r="L5" s="8"/>
      <c r="M5" s="67"/>
    </row>
    <row r="6" spans="1:15" x14ac:dyDescent="0.2">
      <c r="A6" s="2"/>
      <c r="B6" s="2"/>
      <c r="C6" s="2" t="s">
        <v>95</v>
      </c>
      <c r="D6" s="45">
        <v>59735.87</v>
      </c>
      <c r="E6" s="45">
        <v>67378.539999999994</v>
      </c>
      <c r="F6" s="8"/>
      <c r="G6" s="45">
        <v>61000</v>
      </c>
      <c r="H6" s="8"/>
      <c r="I6" s="7">
        <f t="shared" ref="I6:I20" si="0">ROUND((E6-G6),5)</f>
        <v>6378.54</v>
      </c>
      <c r="J6" s="8"/>
      <c r="K6" s="67">
        <v>68000</v>
      </c>
      <c r="L6" s="8"/>
      <c r="M6" s="67">
        <v>0</v>
      </c>
      <c r="O6" s="67">
        <v>65000</v>
      </c>
    </row>
    <row r="7" spans="1:15" x14ac:dyDescent="0.2">
      <c r="A7" s="2"/>
      <c r="B7" s="2"/>
      <c r="C7" s="2" t="s">
        <v>96</v>
      </c>
      <c r="D7" s="45">
        <v>56968.54</v>
      </c>
      <c r="E7" s="45">
        <v>58351.73</v>
      </c>
      <c r="F7" s="8"/>
      <c r="G7" s="45">
        <v>58000</v>
      </c>
      <c r="H7" s="8"/>
      <c r="I7" s="7">
        <f t="shared" si="0"/>
        <v>351.73</v>
      </c>
      <c r="J7" s="8"/>
      <c r="K7" s="67">
        <v>59000</v>
      </c>
      <c r="L7" s="8"/>
      <c r="M7" s="67">
        <v>0</v>
      </c>
      <c r="O7" s="67">
        <v>59000</v>
      </c>
    </row>
    <row r="8" spans="1:15" x14ac:dyDescent="0.2">
      <c r="A8" s="2"/>
      <c r="B8" s="2"/>
      <c r="C8" s="2" t="s">
        <v>97</v>
      </c>
      <c r="D8" s="45">
        <v>29124.080000000002</v>
      </c>
      <c r="E8" s="45">
        <v>22840.05</v>
      </c>
      <c r="F8" s="8"/>
      <c r="G8" s="45">
        <v>31000</v>
      </c>
      <c r="H8" s="8"/>
      <c r="I8" s="7">
        <f t="shared" si="0"/>
        <v>-8159.95</v>
      </c>
      <c r="J8" s="8"/>
      <c r="K8" s="67">
        <v>25000</v>
      </c>
      <c r="L8" s="8"/>
      <c r="M8" s="67">
        <v>6000</v>
      </c>
      <c r="O8" s="67">
        <v>20000</v>
      </c>
    </row>
    <row r="9" spans="1:15" x14ac:dyDescent="0.2">
      <c r="A9" s="2"/>
      <c r="B9" s="2"/>
      <c r="C9" s="2" t="s">
        <v>98</v>
      </c>
      <c r="D9" s="45">
        <v>12476.89</v>
      </c>
      <c r="E9" s="45">
        <v>16966.62</v>
      </c>
      <c r="F9" s="8"/>
      <c r="G9" s="45">
        <v>13000</v>
      </c>
      <c r="H9" s="8"/>
      <c r="I9" s="7">
        <f t="shared" si="0"/>
        <v>3966.62</v>
      </c>
      <c r="J9" s="8"/>
      <c r="K9" s="67">
        <v>14000</v>
      </c>
      <c r="L9" s="8"/>
      <c r="M9" s="67">
        <v>0</v>
      </c>
      <c r="O9" s="67">
        <v>10000</v>
      </c>
    </row>
    <row r="10" spans="1:15" x14ac:dyDescent="0.2">
      <c r="A10" s="2"/>
      <c r="B10" s="2"/>
      <c r="C10" s="2" t="s">
        <v>99</v>
      </c>
      <c r="D10" s="45">
        <v>11432.49</v>
      </c>
      <c r="E10" s="45">
        <v>16306.35</v>
      </c>
      <c r="F10" s="8"/>
      <c r="G10" s="45">
        <v>12000</v>
      </c>
      <c r="H10" s="8"/>
      <c r="I10" s="7">
        <f t="shared" si="0"/>
        <v>4306.3500000000004</v>
      </c>
      <c r="J10" s="8"/>
      <c r="K10" s="67">
        <v>12000</v>
      </c>
      <c r="L10" s="8"/>
      <c r="M10" s="67">
        <v>2000</v>
      </c>
      <c r="O10" s="67">
        <v>8000</v>
      </c>
    </row>
    <row r="11" spans="1:15" x14ac:dyDescent="0.2">
      <c r="A11" s="2"/>
      <c r="B11" s="2"/>
      <c r="C11" s="2" t="s">
        <v>100</v>
      </c>
      <c r="D11" s="45">
        <v>15000</v>
      </c>
      <c r="E11" s="45">
        <v>15000</v>
      </c>
      <c r="F11" s="8"/>
      <c r="G11" s="45">
        <v>15000</v>
      </c>
      <c r="H11" s="8"/>
      <c r="I11" s="7">
        <f t="shared" si="0"/>
        <v>0</v>
      </c>
      <c r="J11" s="8"/>
      <c r="K11" s="67">
        <v>15000</v>
      </c>
      <c r="L11" s="8"/>
      <c r="M11" s="67">
        <v>10000</v>
      </c>
      <c r="O11" s="67">
        <v>15000</v>
      </c>
    </row>
    <row r="12" spans="1:15" x14ac:dyDescent="0.2">
      <c r="A12" s="2"/>
      <c r="B12" s="2"/>
      <c r="C12" s="2" t="s">
        <v>101</v>
      </c>
      <c r="D12" s="45">
        <v>632.91999999999996</v>
      </c>
      <c r="E12" s="45">
        <v>2467.37</v>
      </c>
      <c r="F12" s="8"/>
      <c r="G12" s="45">
        <v>500</v>
      </c>
      <c r="H12" s="8"/>
      <c r="I12" s="7">
        <f t="shared" si="0"/>
        <v>1967.37</v>
      </c>
      <c r="J12" s="8"/>
      <c r="K12" s="67">
        <v>2500</v>
      </c>
      <c r="L12" s="8"/>
      <c r="M12" s="67">
        <v>1000</v>
      </c>
      <c r="O12" s="67">
        <v>2000</v>
      </c>
    </row>
    <row r="13" spans="1:15" x14ac:dyDescent="0.2">
      <c r="A13" s="2"/>
      <c r="B13" s="2"/>
      <c r="C13" s="2" t="s">
        <v>102</v>
      </c>
      <c r="D13" s="45">
        <v>9830</v>
      </c>
      <c r="E13" s="45">
        <v>7250</v>
      </c>
      <c r="F13" s="8"/>
      <c r="G13" s="79">
        <v>12000</v>
      </c>
      <c r="H13" s="8"/>
      <c r="I13" s="7">
        <f t="shared" si="0"/>
        <v>-4750</v>
      </c>
      <c r="J13" s="8"/>
      <c r="K13" s="67">
        <v>12000</v>
      </c>
      <c r="L13" s="8"/>
      <c r="M13" s="67"/>
      <c r="O13" s="67">
        <v>12000</v>
      </c>
    </row>
    <row r="14" spans="1:15" x14ac:dyDescent="0.2">
      <c r="A14" s="2"/>
      <c r="B14" s="2"/>
      <c r="C14" s="2" t="s">
        <v>103</v>
      </c>
      <c r="D14" s="45">
        <v>35151.47</v>
      </c>
      <c r="E14" s="45">
        <v>53515.11</v>
      </c>
      <c r="F14" s="8"/>
      <c r="G14" s="79">
        <v>40000</v>
      </c>
      <c r="H14" s="8"/>
      <c r="I14" s="7">
        <f t="shared" si="0"/>
        <v>13515.11</v>
      </c>
      <c r="J14" s="8"/>
      <c r="K14" s="67">
        <v>45000</v>
      </c>
      <c r="L14" s="8"/>
      <c r="M14" s="67"/>
      <c r="O14" s="67">
        <v>40000</v>
      </c>
    </row>
    <row r="15" spans="1:15" x14ac:dyDescent="0.2">
      <c r="A15" s="2"/>
      <c r="B15" s="2"/>
      <c r="C15" s="2" t="s">
        <v>104</v>
      </c>
      <c r="D15" s="45">
        <v>4726.46</v>
      </c>
      <c r="E15" s="45">
        <v>2004.22</v>
      </c>
      <c r="F15" s="8"/>
      <c r="G15" s="79">
        <v>5000</v>
      </c>
      <c r="H15" s="8"/>
      <c r="I15" s="7">
        <f t="shared" si="0"/>
        <v>-2995.78</v>
      </c>
      <c r="J15" s="8"/>
      <c r="K15" s="67">
        <v>3500</v>
      </c>
      <c r="L15" s="8"/>
      <c r="M15" s="67"/>
      <c r="O15" s="67">
        <v>3000</v>
      </c>
    </row>
    <row r="16" spans="1:15" x14ac:dyDescent="0.2">
      <c r="A16" s="2"/>
      <c r="B16" s="2"/>
      <c r="C16" s="2" t="s">
        <v>105</v>
      </c>
      <c r="D16" s="45">
        <v>28032.47</v>
      </c>
      <c r="E16" s="45">
        <v>37818.39</v>
      </c>
      <c r="F16" s="8"/>
      <c r="G16" s="79">
        <v>30000</v>
      </c>
      <c r="H16" s="8"/>
      <c r="I16" s="7">
        <f t="shared" si="0"/>
        <v>7818.39</v>
      </c>
      <c r="J16" s="8"/>
      <c r="K16" s="67">
        <v>30000</v>
      </c>
      <c r="L16" s="8"/>
      <c r="M16" s="67"/>
      <c r="O16" s="67">
        <v>30000</v>
      </c>
    </row>
    <row r="17" spans="1:15" x14ac:dyDescent="0.2">
      <c r="A17" s="2"/>
      <c r="B17" s="2"/>
      <c r="C17" s="2" t="s">
        <v>106</v>
      </c>
      <c r="D17" s="45">
        <v>7464.13</v>
      </c>
      <c r="E17" s="45">
        <v>6771.01</v>
      </c>
      <c r="F17" s="8"/>
      <c r="G17" s="45">
        <v>7900</v>
      </c>
      <c r="H17" s="8"/>
      <c r="I17" s="7">
        <f t="shared" si="0"/>
        <v>-1128.99</v>
      </c>
      <c r="J17" s="8"/>
      <c r="K17" s="67">
        <v>7500</v>
      </c>
      <c r="L17" s="8"/>
      <c r="M17" s="67">
        <v>1000</v>
      </c>
      <c r="O17" s="67">
        <v>4000</v>
      </c>
    </row>
    <row r="18" spans="1:15" ht="16" thickBot="1" x14ac:dyDescent="0.25">
      <c r="A18" s="2"/>
      <c r="B18" s="2"/>
      <c r="C18" s="2" t="s">
        <v>124</v>
      </c>
      <c r="D18" s="45">
        <v>33333.33</v>
      </c>
      <c r="E18" s="45">
        <v>0</v>
      </c>
      <c r="F18" s="8"/>
      <c r="G18" s="45">
        <v>0</v>
      </c>
      <c r="H18" s="8"/>
      <c r="I18" s="7">
        <v>0</v>
      </c>
      <c r="J18" s="8"/>
      <c r="K18" s="67">
        <v>0</v>
      </c>
      <c r="L18" s="8"/>
      <c r="M18" s="67"/>
    </row>
    <row r="19" spans="1:15" ht="16" thickBot="1" x14ac:dyDescent="0.25">
      <c r="A19" s="2"/>
      <c r="B19" s="2" t="s">
        <v>48</v>
      </c>
      <c r="C19" s="2"/>
      <c r="D19" s="9">
        <f>ROUND(SUM(D5:D18),5)</f>
        <v>303908.65000000002</v>
      </c>
      <c r="E19" s="9">
        <f>ROUND(SUM(E5:E18),5)</f>
        <v>306669.39</v>
      </c>
      <c r="F19" s="8"/>
      <c r="G19" s="9">
        <f>ROUND(SUM(G5:G18),5)</f>
        <v>285400</v>
      </c>
      <c r="H19" s="8"/>
      <c r="I19" s="9">
        <f t="shared" si="0"/>
        <v>21269.39</v>
      </c>
      <c r="J19" s="8"/>
      <c r="K19" s="68">
        <f>ROUND(SUM(K5:K18),5)</f>
        <v>293500</v>
      </c>
      <c r="L19" s="8"/>
      <c r="M19" s="68">
        <f>ROUND(SUM(M5:M18),5)</f>
        <v>20000</v>
      </c>
      <c r="O19" s="68">
        <f>ROUND(SUM(O5:O18),5)</f>
        <v>268000</v>
      </c>
    </row>
    <row r="20" spans="1:15" s="11" customFormat="1" ht="12" thickBot="1" x14ac:dyDescent="0.2">
      <c r="A20" s="2" t="s">
        <v>42</v>
      </c>
      <c r="B20" s="2"/>
      <c r="C20" s="2"/>
      <c r="D20" s="10">
        <f>D19</f>
        <v>303908.65000000002</v>
      </c>
      <c r="E20" s="10">
        <f>E19</f>
        <v>306669.39</v>
      </c>
      <c r="F20" s="2"/>
      <c r="G20" s="10">
        <f>G19</f>
        <v>285400</v>
      </c>
      <c r="H20" s="2"/>
      <c r="I20" s="10">
        <f t="shared" si="0"/>
        <v>21269.39</v>
      </c>
      <c r="J20" s="2"/>
      <c r="K20" s="69">
        <f>K19</f>
        <v>293500</v>
      </c>
      <c r="L20" s="2"/>
      <c r="M20" s="69"/>
    </row>
    <row r="21" spans="1:15" ht="16" thickTop="1" x14ac:dyDescent="0.2"/>
  </sheetData>
  <pageMargins left="0.70866141732283505" right="0.70866141732283505" top="0.74803149606299202" bottom="0.74803149606299202" header="0.118110236220472" footer="0.31496062992126"/>
  <pageSetup fitToWidth="0" orientation="landscape" horizontalDpi="4294967293" verticalDpi="4294967293" r:id="rId1"/>
  <headerFooter>
    <oddFooter>&amp;R&amp;"Arial,Bold"&amp;8 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1B66E-A6E9-4285-8DB3-BD68A2F60FF2}">
  <sheetPr codeName="Sheet3">
    <pageSetUpPr fitToPage="1"/>
  </sheetPr>
  <dimension ref="A1:O35"/>
  <sheetViews>
    <sheetView zoomScale="112" zoomScaleNormal="112" workbookViewId="0">
      <pane xSplit="3" ySplit="4" topLeftCell="K5" activePane="bottomRight" state="frozenSplit"/>
      <selection pane="topRight" activeCell="D1" sqref="D1"/>
      <selection pane="bottomLeft" activeCell="A6" sqref="A6"/>
      <selection pane="bottomRight" activeCell="O23" sqref="O23"/>
    </sheetView>
  </sheetViews>
  <sheetFormatPr baseColWidth="10" defaultColWidth="8.83203125" defaultRowHeight="15" x14ac:dyDescent="0.2"/>
  <cols>
    <col min="1" max="2" width="3" style="11" customWidth="1"/>
    <col min="3" max="3" width="30.83203125" style="11" customWidth="1"/>
    <col min="4" max="4" width="14.1640625" style="11" customWidth="1"/>
    <col min="5" max="5" width="13.6640625" bestFit="1" customWidth="1"/>
    <col min="6" max="6" width="1" customWidth="1"/>
    <col min="7" max="7" width="9" bestFit="1" customWidth="1"/>
    <col min="8" max="8" width="0.83203125" customWidth="1"/>
    <col min="9" max="9" width="12.1640625" bestFit="1" customWidth="1"/>
    <col min="10" max="10" width="0.83203125" customWidth="1"/>
    <col min="11" max="11" width="13.83203125" bestFit="1" customWidth="1"/>
    <col min="12" max="12" width="0.83203125" customWidth="1"/>
    <col min="13" max="13" width="11.1640625" customWidth="1"/>
    <col min="14" max="14" width="4.5" customWidth="1"/>
    <col min="15" max="15" width="11.1640625" customWidth="1"/>
  </cols>
  <sheetData>
    <row r="1" spans="1:15" ht="16" x14ac:dyDescent="0.2">
      <c r="A1" s="3" t="s">
        <v>0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</row>
    <row r="2" spans="1:15" ht="18" x14ac:dyDescent="0.2">
      <c r="A2" s="4" t="s">
        <v>37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5" ht="16" thickBot="1" x14ac:dyDescent="0.25">
      <c r="A3" s="2"/>
      <c r="B3" s="2"/>
      <c r="C3" s="2"/>
      <c r="D3" s="2"/>
      <c r="E3" s="6"/>
      <c r="F3" s="5"/>
      <c r="G3" s="6"/>
      <c r="H3" s="5"/>
      <c r="I3" s="6"/>
      <c r="J3" s="5"/>
      <c r="K3" s="6"/>
      <c r="L3" s="5"/>
    </row>
    <row r="4" spans="1:15" s="15" customFormat="1" ht="27" thickTop="1" thickBot="1" x14ac:dyDescent="0.25">
      <c r="A4" s="12"/>
      <c r="B4" s="12"/>
      <c r="C4" s="12"/>
      <c r="D4" s="16" t="s">
        <v>122</v>
      </c>
      <c r="E4" s="16" t="s">
        <v>157</v>
      </c>
      <c r="F4" s="14"/>
      <c r="G4" s="13" t="s">
        <v>49</v>
      </c>
      <c r="H4" s="14"/>
      <c r="I4" s="13" t="s">
        <v>38</v>
      </c>
      <c r="J4" s="14"/>
      <c r="K4" s="70" t="s">
        <v>94</v>
      </c>
      <c r="L4" s="14"/>
      <c r="M4" s="70" t="s">
        <v>159</v>
      </c>
      <c r="O4" s="70" t="s">
        <v>160</v>
      </c>
    </row>
    <row r="5" spans="1:15" ht="16" thickTop="1" x14ac:dyDescent="0.2">
      <c r="A5" s="2"/>
      <c r="B5" s="2" t="s">
        <v>39</v>
      </c>
      <c r="C5" s="2"/>
      <c r="D5" s="2"/>
      <c r="E5" s="7"/>
      <c r="F5" s="8"/>
      <c r="G5" s="7"/>
      <c r="H5" s="8"/>
      <c r="I5" s="7"/>
      <c r="J5" s="8"/>
      <c r="K5" s="67"/>
      <c r="L5" s="8"/>
      <c r="M5" s="67"/>
      <c r="O5" s="67"/>
    </row>
    <row r="6" spans="1:15" x14ac:dyDescent="0.2">
      <c r="A6" s="2"/>
      <c r="B6" s="2"/>
      <c r="C6" s="2" t="s">
        <v>79</v>
      </c>
      <c r="D6" s="19">
        <v>19540.28</v>
      </c>
      <c r="E6" s="19">
        <v>18138.68</v>
      </c>
      <c r="F6" s="8"/>
      <c r="G6" s="45">
        <v>24300</v>
      </c>
      <c r="H6" s="19"/>
      <c r="I6" s="19">
        <f t="shared" ref="I6:I23" si="0">ROUND((E6-G6),5)</f>
        <v>-6161.32</v>
      </c>
      <c r="J6" s="19"/>
      <c r="K6" s="71">
        <v>20000</v>
      </c>
      <c r="L6" s="19"/>
      <c r="M6" s="71">
        <v>18200</v>
      </c>
      <c r="O6" s="71">
        <v>16500</v>
      </c>
    </row>
    <row r="7" spans="1:15" x14ac:dyDescent="0.2">
      <c r="A7" s="2"/>
      <c r="B7" s="2"/>
      <c r="C7" s="2" t="s">
        <v>80</v>
      </c>
      <c r="D7" s="19">
        <v>6000</v>
      </c>
      <c r="E7" s="19">
        <v>5874.87</v>
      </c>
      <c r="F7" s="8"/>
      <c r="G7" s="45">
        <v>6000</v>
      </c>
      <c r="H7" s="19"/>
      <c r="I7" s="19">
        <f t="shared" si="0"/>
        <v>-125.13</v>
      </c>
      <c r="J7" s="19"/>
      <c r="K7" s="71">
        <v>6000</v>
      </c>
      <c r="L7" s="19"/>
      <c r="M7" s="71">
        <v>6000</v>
      </c>
      <c r="O7" s="71">
        <v>6000</v>
      </c>
    </row>
    <row r="8" spans="1:15" x14ac:dyDescent="0.2">
      <c r="A8" s="2"/>
      <c r="B8" s="2"/>
      <c r="C8" s="2" t="s">
        <v>81</v>
      </c>
      <c r="D8" s="19">
        <v>5358.06</v>
      </c>
      <c r="E8" s="19">
        <v>6614.64</v>
      </c>
      <c r="F8" s="8"/>
      <c r="G8" s="45">
        <v>7000</v>
      </c>
      <c r="H8" s="19"/>
      <c r="I8" s="19">
        <f t="shared" si="0"/>
        <v>-385.36</v>
      </c>
      <c r="J8" s="19"/>
      <c r="K8" s="71">
        <v>7000</v>
      </c>
      <c r="L8" s="19"/>
      <c r="M8" s="71">
        <v>6000</v>
      </c>
      <c r="O8" s="71">
        <v>6000</v>
      </c>
    </row>
    <row r="9" spans="1:15" x14ac:dyDescent="0.2">
      <c r="A9" s="2"/>
      <c r="B9" s="2"/>
      <c r="C9" s="2" t="s">
        <v>82</v>
      </c>
      <c r="D9" s="19">
        <v>4760.1099999999997</v>
      </c>
      <c r="E9" s="19">
        <v>3584</v>
      </c>
      <c r="F9" s="8"/>
      <c r="G9" s="45">
        <v>7000</v>
      </c>
      <c r="H9" s="19"/>
      <c r="I9" s="19">
        <f t="shared" si="0"/>
        <v>-3416</v>
      </c>
      <c r="J9" s="19"/>
      <c r="K9" s="71">
        <v>7000</v>
      </c>
      <c r="L9" s="19"/>
      <c r="M9" s="71">
        <v>3500</v>
      </c>
      <c r="O9" s="71">
        <v>3500</v>
      </c>
    </row>
    <row r="10" spans="1:15" x14ac:dyDescent="0.2">
      <c r="A10" s="2"/>
      <c r="B10" s="2"/>
      <c r="C10" s="2" t="s">
        <v>83</v>
      </c>
      <c r="D10" s="19">
        <v>6000</v>
      </c>
      <c r="E10" s="19">
        <v>6571.22</v>
      </c>
      <c r="F10" s="8"/>
      <c r="G10" s="45">
        <v>7000</v>
      </c>
      <c r="H10" s="19"/>
      <c r="I10" s="19">
        <f t="shared" si="0"/>
        <v>-428.78</v>
      </c>
      <c r="J10" s="19"/>
      <c r="K10" s="71">
        <v>7000</v>
      </c>
      <c r="L10" s="19"/>
      <c r="M10" s="71">
        <v>6500</v>
      </c>
      <c r="O10" s="71">
        <v>6500</v>
      </c>
    </row>
    <row r="11" spans="1:15" x14ac:dyDescent="0.2">
      <c r="A11" s="2"/>
      <c r="B11" s="2"/>
      <c r="C11" s="2" t="s">
        <v>84</v>
      </c>
      <c r="D11" s="19">
        <v>5946.26</v>
      </c>
      <c r="E11" s="19">
        <v>7832.38</v>
      </c>
      <c r="F11" s="8"/>
      <c r="G11" s="45">
        <v>7000</v>
      </c>
      <c r="H11" s="19"/>
      <c r="I11" s="19">
        <f t="shared" si="0"/>
        <v>832.38</v>
      </c>
      <c r="J11" s="19"/>
      <c r="K11" s="71">
        <v>7000</v>
      </c>
      <c r="L11" s="19"/>
      <c r="M11" s="71">
        <v>6500</v>
      </c>
      <c r="O11" s="71">
        <v>6500</v>
      </c>
    </row>
    <row r="12" spans="1:15" x14ac:dyDescent="0.2">
      <c r="A12" s="2"/>
      <c r="B12" s="2"/>
      <c r="C12" s="2" t="s">
        <v>85</v>
      </c>
      <c r="D12" s="19">
        <v>5188.72</v>
      </c>
      <c r="E12" s="19">
        <v>5701.32</v>
      </c>
      <c r="F12" s="8"/>
      <c r="G12" s="45">
        <v>7000</v>
      </c>
      <c r="H12" s="19"/>
      <c r="I12" s="19">
        <f t="shared" si="0"/>
        <v>-1298.68</v>
      </c>
      <c r="J12" s="19"/>
      <c r="K12" s="71">
        <v>7000</v>
      </c>
      <c r="L12" s="19"/>
      <c r="M12" s="71">
        <v>6000</v>
      </c>
      <c r="O12" s="71">
        <v>6000</v>
      </c>
    </row>
    <row r="13" spans="1:15" x14ac:dyDescent="0.2">
      <c r="A13" s="2"/>
      <c r="B13" s="2"/>
      <c r="C13" s="2" t="s">
        <v>86</v>
      </c>
      <c r="D13" s="19">
        <v>4868.96</v>
      </c>
      <c r="E13" s="19">
        <v>4138.63</v>
      </c>
      <c r="F13" s="8"/>
      <c r="G13" s="45">
        <v>7000</v>
      </c>
      <c r="H13" s="19"/>
      <c r="I13" s="19">
        <f t="shared" si="0"/>
        <v>-2861.37</v>
      </c>
      <c r="J13" s="19"/>
      <c r="K13" s="71">
        <v>7000</v>
      </c>
      <c r="L13" s="19"/>
      <c r="M13" s="71">
        <v>5000</v>
      </c>
      <c r="O13" s="71">
        <v>5000</v>
      </c>
    </row>
    <row r="14" spans="1:15" x14ac:dyDescent="0.2">
      <c r="A14" s="2"/>
      <c r="B14" s="2"/>
      <c r="C14" s="2" t="s">
        <v>87</v>
      </c>
      <c r="D14" s="19">
        <v>5959.86</v>
      </c>
      <c r="E14" s="19">
        <v>7066.62</v>
      </c>
      <c r="F14" s="8"/>
      <c r="G14" s="45">
        <v>7000</v>
      </c>
      <c r="H14" s="19"/>
      <c r="I14" s="19">
        <f t="shared" si="0"/>
        <v>66.62</v>
      </c>
      <c r="J14" s="19"/>
      <c r="K14" s="71">
        <v>7000</v>
      </c>
      <c r="L14" s="19"/>
      <c r="M14" s="71">
        <v>7000</v>
      </c>
      <c r="O14" s="71">
        <v>7000</v>
      </c>
    </row>
    <row r="15" spans="1:15" x14ac:dyDescent="0.2">
      <c r="A15" s="2"/>
      <c r="B15" s="2"/>
      <c r="C15" s="2" t="s">
        <v>88</v>
      </c>
      <c r="D15" s="19">
        <v>4614.3500000000004</v>
      </c>
      <c r="E15" s="19">
        <v>5950.63</v>
      </c>
      <c r="F15" s="8"/>
      <c r="G15" s="45">
        <v>7000</v>
      </c>
      <c r="H15" s="19"/>
      <c r="I15" s="19">
        <f t="shared" si="0"/>
        <v>-1049.3699999999999</v>
      </c>
      <c r="J15" s="19"/>
      <c r="K15" s="71">
        <v>7000</v>
      </c>
      <c r="L15" s="19"/>
      <c r="M15" s="71">
        <v>6000</v>
      </c>
      <c r="O15" s="71">
        <v>6000</v>
      </c>
    </row>
    <row r="16" spans="1:15" x14ac:dyDescent="0.2">
      <c r="A16" s="2"/>
      <c r="B16" s="2"/>
      <c r="C16" s="2" t="s">
        <v>89</v>
      </c>
      <c r="D16" s="19">
        <v>5944.6</v>
      </c>
      <c r="E16" s="19">
        <v>73.98</v>
      </c>
      <c r="F16" s="8"/>
      <c r="G16" s="45">
        <v>7000</v>
      </c>
      <c r="H16" s="19"/>
      <c r="I16" s="19">
        <f t="shared" si="0"/>
        <v>-6926.02</v>
      </c>
      <c r="J16" s="19"/>
      <c r="K16" s="71">
        <v>7000</v>
      </c>
      <c r="L16" s="19"/>
      <c r="M16" s="71">
        <v>4000</v>
      </c>
      <c r="O16" s="71">
        <v>4000</v>
      </c>
    </row>
    <row r="17" spans="1:15" x14ac:dyDescent="0.2">
      <c r="A17" s="2"/>
      <c r="B17" s="2"/>
      <c r="C17" s="2" t="s">
        <v>90</v>
      </c>
      <c r="D17" s="19">
        <v>6050.91</v>
      </c>
      <c r="E17" s="19">
        <v>8442.23</v>
      </c>
      <c r="F17" s="8"/>
      <c r="G17" s="45">
        <v>7000</v>
      </c>
      <c r="H17" s="19"/>
      <c r="I17" s="19">
        <f t="shared" si="0"/>
        <v>1442.23</v>
      </c>
      <c r="J17" s="19"/>
      <c r="K17" s="71">
        <v>7000</v>
      </c>
      <c r="L17" s="19"/>
      <c r="M17" s="71">
        <v>7000</v>
      </c>
      <c r="O17" s="71">
        <v>7000</v>
      </c>
    </row>
    <row r="18" spans="1:15" x14ac:dyDescent="0.2">
      <c r="A18" s="2"/>
      <c r="B18" s="2"/>
      <c r="C18" s="2" t="s">
        <v>91</v>
      </c>
      <c r="D18" s="19">
        <v>6490.52</v>
      </c>
      <c r="E18" s="19">
        <v>10742.5</v>
      </c>
      <c r="F18" s="8"/>
      <c r="G18" s="45">
        <v>7000</v>
      </c>
      <c r="H18" s="19"/>
      <c r="I18" s="19">
        <f t="shared" si="0"/>
        <v>3742.5</v>
      </c>
      <c r="J18" s="19"/>
      <c r="K18" s="71">
        <v>7000</v>
      </c>
      <c r="L18" s="19"/>
      <c r="M18" s="71">
        <v>7000</v>
      </c>
      <c r="O18" s="71">
        <v>7000</v>
      </c>
    </row>
    <row r="19" spans="1:15" x14ac:dyDescent="0.2">
      <c r="A19" s="2"/>
      <c r="B19" s="2"/>
      <c r="C19" s="2" t="s">
        <v>92</v>
      </c>
      <c r="D19" s="19">
        <v>4144.05</v>
      </c>
      <c r="E19" s="19">
        <v>8911.4699999999993</v>
      </c>
      <c r="F19" s="8"/>
      <c r="G19" s="45">
        <v>7000</v>
      </c>
      <c r="H19" s="19"/>
      <c r="I19" s="19">
        <f t="shared" si="0"/>
        <v>1911.47</v>
      </c>
      <c r="J19" s="19"/>
      <c r="K19" s="71">
        <v>7000</v>
      </c>
      <c r="L19" s="19"/>
      <c r="M19" s="71">
        <v>6000</v>
      </c>
      <c r="O19" s="71">
        <v>6000</v>
      </c>
    </row>
    <row r="20" spans="1:15" x14ac:dyDescent="0.2">
      <c r="A20" s="2"/>
      <c r="B20" s="2"/>
      <c r="C20" s="2" t="s">
        <v>93</v>
      </c>
      <c r="D20" s="19">
        <v>6015.28</v>
      </c>
      <c r="E20" s="19">
        <v>6953.06</v>
      </c>
      <c r="F20" s="8"/>
      <c r="G20" s="45">
        <v>7000</v>
      </c>
      <c r="H20" s="19"/>
      <c r="I20" s="19">
        <f t="shared" si="0"/>
        <v>-46.94</v>
      </c>
      <c r="J20" s="19"/>
      <c r="K20" s="71">
        <v>7000</v>
      </c>
      <c r="L20" s="19"/>
      <c r="M20" s="71">
        <v>7000</v>
      </c>
      <c r="O20" s="71">
        <v>7000</v>
      </c>
    </row>
    <row r="21" spans="1:15" ht="16" thickBot="1" x14ac:dyDescent="0.25">
      <c r="A21" s="2"/>
      <c r="B21" s="2"/>
      <c r="C21" s="2" t="s">
        <v>40</v>
      </c>
      <c r="D21" s="19">
        <v>283.7</v>
      </c>
      <c r="E21" s="19">
        <v>0</v>
      </c>
      <c r="F21" s="8"/>
      <c r="G21" s="45">
        <v>0</v>
      </c>
      <c r="H21" s="19"/>
      <c r="I21" s="19">
        <f t="shared" si="0"/>
        <v>0</v>
      </c>
      <c r="J21" s="19"/>
      <c r="K21" s="71">
        <v>0</v>
      </c>
      <c r="L21" s="19"/>
      <c r="M21" s="71"/>
      <c r="O21" s="71"/>
    </row>
    <row r="22" spans="1:15" ht="16" thickBot="1" x14ac:dyDescent="0.25">
      <c r="A22" s="2"/>
      <c r="B22" s="2" t="s">
        <v>41</v>
      </c>
      <c r="C22" s="2"/>
      <c r="D22" s="9">
        <f>ROUND(SUM(D5:D21),5)</f>
        <v>97165.66</v>
      </c>
      <c r="E22" s="9">
        <f>ROUND(SUM(E5:E21),5)</f>
        <v>106596.23</v>
      </c>
      <c r="F22" s="8"/>
      <c r="G22" s="9">
        <f>ROUND(SUM(G5:G21),5)</f>
        <v>121300</v>
      </c>
      <c r="H22" s="8"/>
      <c r="I22" s="9">
        <f t="shared" si="0"/>
        <v>-14703.77</v>
      </c>
      <c r="J22" s="8"/>
      <c r="K22" s="68">
        <f>ROUND(SUM(K5:K21),5)</f>
        <v>117000</v>
      </c>
      <c r="L22" s="8"/>
      <c r="M22" s="68">
        <f>SUM(M6:M21)</f>
        <v>101700</v>
      </c>
      <c r="O22" s="68">
        <f>SUM(O6:O21)</f>
        <v>100000</v>
      </c>
    </row>
    <row r="23" spans="1:15" s="11" customFormat="1" ht="12" thickBot="1" x14ac:dyDescent="0.2">
      <c r="A23" s="2" t="s">
        <v>42</v>
      </c>
      <c r="B23" s="2"/>
      <c r="C23" s="2"/>
      <c r="D23" s="10">
        <f>D22</f>
        <v>97165.66</v>
      </c>
      <c r="E23" s="10">
        <f>E22</f>
        <v>106596.23</v>
      </c>
      <c r="F23" s="2"/>
      <c r="G23" s="10">
        <f>G22</f>
        <v>121300</v>
      </c>
      <c r="H23" s="2"/>
      <c r="I23" s="10">
        <f t="shared" si="0"/>
        <v>-14703.77</v>
      </c>
      <c r="J23" s="2"/>
      <c r="K23" s="69">
        <f>K22</f>
        <v>117000</v>
      </c>
      <c r="L23" s="2"/>
      <c r="M23" s="69">
        <f>M22</f>
        <v>101700</v>
      </c>
      <c r="O23" s="69"/>
    </row>
    <row r="24" spans="1:15" ht="16" thickTop="1" x14ac:dyDescent="0.2"/>
    <row r="26" spans="1:15" x14ac:dyDescent="0.2">
      <c r="C26" s="11" t="s">
        <v>50</v>
      </c>
      <c r="E26" s="7"/>
    </row>
    <row r="27" spans="1:15" x14ac:dyDescent="0.2">
      <c r="C27" s="11" t="s">
        <v>51</v>
      </c>
      <c r="E27" s="7">
        <v>15000</v>
      </c>
    </row>
    <row r="28" spans="1:15" x14ac:dyDescent="0.2">
      <c r="C28" s="11" t="s">
        <v>52</v>
      </c>
      <c r="E28" s="7">
        <v>5000</v>
      </c>
    </row>
    <row r="29" spans="1:15" ht="16" thickBot="1" x14ac:dyDescent="0.25">
      <c r="E29" s="17">
        <f>SUM(E27:E28)</f>
        <v>20000</v>
      </c>
    </row>
    <row r="30" spans="1:15" ht="16" thickTop="1" x14ac:dyDescent="0.2">
      <c r="E30" s="7"/>
    </row>
    <row r="31" spans="1:15" x14ac:dyDescent="0.2">
      <c r="C31" s="11" t="s">
        <v>53</v>
      </c>
      <c r="E31" s="7"/>
    </row>
    <row r="32" spans="1:15" x14ac:dyDescent="0.2">
      <c r="C32" s="11" t="s">
        <v>54</v>
      </c>
      <c r="E32" s="7"/>
    </row>
    <row r="33" spans="5:5" x14ac:dyDescent="0.2">
      <c r="E33" s="7"/>
    </row>
    <row r="34" spans="5:5" x14ac:dyDescent="0.2">
      <c r="E34" s="7"/>
    </row>
    <row r="35" spans="5:5" x14ac:dyDescent="0.2">
      <c r="E35" s="7"/>
    </row>
  </sheetData>
  <pageMargins left="0.70866141732283505" right="0.70866141732283505" top="0.74803149606299202" bottom="0.74803149606299202" header="0.118110236220472" footer="0.31496062992126"/>
  <pageSetup scale="97" fitToWidth="0" orientation="landscape" horizontalDpi="4294967293" verticalDpi="4294967293" r:id="rId1"/>
  <headerFooter>
    <oddFooter>&amp;R&amp;"Arial,Bold"&amp;8 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848D-A32C-44E6-9EDD-323686D70E70}">
  <sheetPr codeName="Sheet4"/>
  <dimension ref="A1:O13"/>
  <sheetViews>
    <sheetView zoomScale="130" zoomScaleNormal="130" workbookViewId="0">
      <pane xSplit="3" ySplit="4" topLeftCell="L5" activePane="bottomRight" state="frozenSplit"/>
      <selection pane="topRight" activeCell="D1" sqref="D1"/>
      <selection pane="bottomLeft" activeCell="A6" sqref="A6"/>
      <selection pane="bottomRight" activeCell="C14" sqref="C14:C16"/>
    </sheetView>
  </sheetViews>
  <sheetFormatPr baseColWidth="10" defaultColWidth="8.83203125" defaultRowHeight="15" x14ac:dyDescent="0.2"/>
  <cols>
    <col min="1" max="2" width="3" style="11" customWidth="1"/>
    <col min="3" max="3" width="33.6640625" style="11" customWidth="1"/>
    <col min="4" max="4" width="12.6640625" style="11" customWidth="1"/>
    <col min="5" max="5" width="13.6640625" bestFit="1" customWidth="1"/>
    <col min="6" max="6" width="1.1640625" customWidth="1"/>
    <col min="7" max="7" width="9.6640625" bestFit="1" customWidth="1"/>
    <col min="8" max="8" width="1.33203125" customWidth="1"/>
    <col min="9" max="9" width="12" bestFit="1" customWidth="1"/>
    <col min="10" max="10" width="2.33203125" customWidth="1"/>
    <col min="11" max="11" width="13.6640625" bestFit="1" customWidth="1"/>
    <col min="12" max="12" width="2.33203125" customWidth="1"/>
    <col min="13" max="13" width="13.6640625" bestFit="1" customWidth="1"/>
    <col min="14" max="14" width="2.33203125" customWidth="1"/>
    <col min="15" max="15" width="13.6640625" bestFit="1" customWidth="1"/>
  </cols>
  <sheetData>
    <row r="1" spans="1:15" ht="16" x14ac:dyDescent="0.2">
      <c r="A1" s="3" t="s">
        <v>0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x14ac:dyDescent="0.2">
      <c r="A2" s="4" t="s">
        <v>43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" thickBot="1" x14ac:dyDescent="0.25">
      <c r="A3" s="2"/>
      <c r="B3" s="2"/>
      <c r="C3" s="2"/>
      <c r="D3" s="2"/>
      <c r="E3" s="6"/>
      <c r="F3" s="5"/>
      <c r="G3" s="6"/>
      <c r="H3" s="5"/>
      <c r="I3" s="6"/>
      <c r="J3" s="5"/>
      <c r="K3" s="6"/>
      <c r="L3" s="5"/>
      <c r="M3" s="6"/>
      <c r="N3" s="5"/>
      <c r="O3" s="6"/>
    </row>
    <row r="4" spans="1:15" s="15" customFormat="1" ht="27" thickTop="1" thickBot="1" x14ac:dyDescent="0.25">
      <c r="A4" s="12"/>
      <c r="B4" s="12"/>
      <c r="C4" s="12"/>
      <c r="D4" s="16" t="s">
        <v>126</v>
      </c>
      <c r="E4" s="16" t="s">
        <v>158</v>
      </c>
      <c r="F4" s="14"/>
      <c r="G4" s="13" t="s">
        <v>49</v>
      </c>
      <c r="H4" s="14"/>
      <c r="I4" s="13" t="s">
        <v>38</v>
      </c>
      <c r="J4" s="14"/>
      <c r="K4" s="66" t="s">
        <v>94</v>
      </c>
      <c r="L4" s="14"/>
      <c r="M4" s="66" t="s">
        <v>159</v>
      </c>
      <c r="N4" s="14"/>
      <c r="O4" s="66" t="s">
        <v>160</v>
      </c>
    </row>
    <row r="5" spans="1:15" ht="16" thickTop="1" x14ac:dyDescent="0.2">
      <c r="A5" s="2"/>
      <c r="B5" s="2" t="s">
        <v>44</v>
      </c>
      <c r="C5" s="2"/>
      <c r="D5" s="2"/>
      <c r="E5" s="7"/>
      <c r="F5" s="8"/>
      <c r="G5" s="7"/>
      <c r="H5" s="8"/>
      <c r="I5" s="7"/>
      <c r="J5" s="8"/>
      <c r="K5" s="67"/>
      <c r="L5" s="8"/>
      <c r="M5" s="67"/>
      <c r="N5" s="8"/>
      <c r="O5" s="67"/>
    </row>
    <row r="6" spans="1:15" x14ac:dyDescent="0.2">
      <c r="A6" s="2"/>
      <c r="B6" s="2"/>
      <c r="C6" s="2" t="s">
        <v>107</v>
      </c>
      <c r="D6" s="19">
        <v>21500</v>
      </c>
      <c r="E6" s="19">
        <v>25000</v>
      </c>
      <c r="F6" s="8"/>
      <c r="G6" s="19">
        <v>20000</v>
      </c>
      <c r="H6" s="8"/>
      <c r="I6" s="7">
        <f>ROUND((E6-G6),5)</f>
        <v>5000</v>
      </c>
      <c r="J6" s="8"/>
      <c r="K6" s="67">
        <v>-25000</v>
      </c>
      <c r="L6" s="8"/>
      <c r="M6" s="67">
        <v>0</v>
      </c>
      <c r="N6" s="8"/>
      <c r="O6" s="67">
        <v>-25000</v>
      </c>
    </row>
    <row r="7" spans="1:15" x14ac:dyDescent="0.2">
      <c r="A7" s="2"/>
      <c r="B7" s="2"/>
      <c r="C7" s="2" t="s">
        <v>108</v>
      </c>
      <c r="D7" s="19">
        <v>-22500</v>
      </c>
      <c r="E7" s="19">
        <v>-27750</v>
      </c>
      <c r="F7" s="8"/>
      <c r="G7" s="19">
        <v>-24000</v>
      </c>
      <c r="H7" s="8"/>
      <c r="I7" s="7">
        <f t="shared" ref="I7:I12" si="0">ROUND((E7-G7),5)</f>
        <v>-3750</v>
      </c>
      <c r="J7" s="8"/>
      <c r="K7" s="67">
        <v>25000</v>
      </c>
      <c r="L7" s="8"/>
      <c r="M7" s="67">
        <v>0</v>
      </c>
      <c r="N7" s="8"/>
      <c r="O7" s="67">
        <v>25000</v>
      </c>
    </row>
    <row r="8" spans="1:15" x14ac:dyDescent="0.2">
      <c r="A8" s="2"/>
      <c r="B8" s="2"/>
      <c r="C8" s="2" t="s">
        <v>109</v>
      </c>
      <c r="D8" s="19">
        <v>-17096.919999999998</v>
      </c>
      <c r="E8" s="19">
        <v>-14856.85</v>
      </c>
      <c r="F8" s="8"/>
      <c r="G8" s="19">
        <v>-19000</v>
      </c>
      <c r="H8" s="8"/>
      <c r="I8" s="7">
        <f t="shared" si="0"/>
        <v>4143.1499999999996</v>
      </c>
      <c r="J8" s="8"/>
      <c r="K8" s="67">
        <v>16000</v>
      </c>
      <c r="L8" s="8"/>
      <c r="M8" s="67">
        <v>1000</v>
      </c>
      <c r="N8" s="8"/>
      <c r="O8" s="67">
        <v>16000</v>
      </c>
    </row>
    <row r="9" spans="1:15" x14ac:dyDescent="0.2">
      <c r="A9" s="2"/>
      <c r="B9" s="2"/>
      <c r="C9" s="2" t="s">
        <v>110</v>
      </c>
      <c r="D9" s="19">
        <v>-12499.23</v>
      </c>
      <c r="E9" s="19">
        <v>-20270.400000000001</v>
      </c>
      <c r="F9" s="8"/>
      <c r="G9" s="19">
        <v>-15000</v>
      </c>
      <c r="H9" s="8"/>
      <c r="I9" s="7">
        <f t="shared" si="0"/>
        <v>-5270.4</v>
      </c>
      <c r="J9" s="8"/>
      <c r="K9" s="67">
        <v>35000</v>
      </c>
      <c r="L9" s="8"/>
      <c r="M9" s="67">
        <v>0</v>
      </c>
      <c r="N9" s="8"/>
      <c r="O9" s="67">
        <v>39000</v>
      </c>
    </row>
    <row r="10" spans="1:15" ht="16" thickBot="1" x14ac:dyDescent="0.25">
      <c r="A10" s="2"/>
      <c r="B10" s="2"/>
      <c r="C10" s="2" t="s">
        <v>111</v>
      </c>
      <c r="D10" s="19">
        <v>-30850.81</v>
      </c>
      <c r="E10" s="19">
        <v>-35865.089999999997</v>
      </c>
      <c r="F10" s="8"/>
      <c r="G10" s="19">
        <v>-35000</v>
      </c>
      <c r="H10" s="8"/>
      <c r="I10" s="7">
        <f t="shared" si="0"/>
        <v>-865.09</v>
      </c>
      <c r="J10" s="8"/>
      <c r="K10" s="67">
        <v>15000</v>
      </c>
      <c r="L10" s="8"/>
      <c r="M10" s="67">
        <v>0</v>
      </c>
      <c r="N10" s="8"/>
      <c r="O10" s="67">
        <v>15000</v>
      </c>
    </row>
    <row r="11" spans="1:15" ht="16" thickBot="1" x14ac:dyDescent="0.25">
      <c r="A11" s="2"/>
      <c r="B11" s="2" t="s">
        <v>45</v>
      </c>
      <c r="C11" s="2"/>
      <c r="D11" s="9">
        <f>ROUND(SUM(D5:D10),5)</f>
        <v>-61446.96</v>
      </c>
      <c r="E11" s="9">
        <f>ROUND(SUM(E5:E10),5)</f>
        <v>-73742.34</v>
      </c>
      <c r="F11" s="8"/>
      <c r="G11" s="9">
        <f>ROUND(SUM(G5:G10),5)</f>
        <v>-73000</v>
      </c>
      <c r="H11" s="8"/>
      <c r="I11" s="9">
        <f t="shared" si="0"/>
        <v>-742.34</v>
      </c>
      <c r="J11" s="8"/>
      <c r="K11" s="68">
        <f>ROUND(SUM(K5:K10),5)</f>
        <v>66000</v>
      </c>
      <c r="L11" s="8"/>
      <c r="M11" s="68">
        <f>ROUND(SUM(M5:M10),5)</f>
        <v>1000</v>
      </c>
      <c r="N11" s="8"/>
      <c r="O11" s="68">
        <f>ROUND(SUM(O5:O10),5)</f>
        <v>70000</v>
      </c>
    </row>
    <row r="12" spans="1:15" s="11" customFormat="1" ht="12" thickBot="1" x14ac:dyDescent="0.2">
      <c r="A12" s="2" t="s">
        <v>42</v>
      </c>
      <c r="B12" s="2"/>
      <c r="C12" s="2"/>
      <c r="D12" s="10">
        <f>D11</f>
        <v>-61446.96</v>
      </c>
      <c r="E12" s="10">
        <f>E11</f>
        <v>-73742.34</v>
      </c>
      <c r="F12" s="2"/>
      <c r="G12" s="10">
        <f>G11</f>
        <v>-73000</v>
      </c>
      <c r="H12" s="2"/>
      <c r="I12" s="10">
        <f t="shared" si="0"/>
        <v>-742.34</v>
      </c>
      <c r="J12" s="2"/>
      <c r="K12" s="69">
        <f>K11</f>
        <v>66000</v>
      </c>
      <c r="L12" s="2"/>
      <c r="M12" s="69"/>
      <c r="N12" s="2"/>
      <c r="O12" s="69"/>
    </row>
    <row r="13" spans="1:15" ht="16" thickTop="1" x14ac:dyDescent="0.2"/>
  </sheetData>
  <pageMargins left="0.70866141732283505" right="0.70866141732283505" top="0.74803149606299202" bottom="0.74803149606299202" header="0.118110236220472" footer="0.31496062992126"/>
  <pageSetup scale="85" orientation="landscape" horizontalDpi="4294967293" verticalDpi="4294967293" r:id="rId1"/>
  <headerFooter>
    <oddFooter>&amp;R&amp;"Arial,Bold"&amp;8 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6716F-B553-4D92-BB94-DEE7B26E57DC}">
  <dimension ref="A1:X33"/>
  <sheetViews>
    <sheetView workbookViewId="0">
      <selection activeCell="A36" sqref="A36"/>
    </sheetView>
  </sheetViews>
  <sheetFormatPr baseColWidth="10" defaultColWidth="8.83203125" defaultRowHeight="15" x14ac:dyDescent="0.2"/>
  <cols>
    <col min="1" max="1" width="38" customWidth="1"/>
    <col min="2" max="2" width="11.6640625" style="18" bestFit="1" customWidth="1"/>
    <col min="3" max="3" width="12.83203125" bestFit="1" customWidth="1"/>
    <col min="4" max="4" width="2" customWidth="1"/>
    <col min="5" max="5" width="11.33203125" bestFit="1" customWidth="1"/>
    <col min="6" max="6" width="11.5" bestFit="1" customWidth="1"/>
    <col min="7" max="7" width="12.83203125" bestFit="1" customWidth="1"/>
    <col min="8" max="9" width="12.83203125" customWidth="1"/>
    <col min="10" max="10" width="15" bestFit="1" customWidth="1"/>
    <col min="11" max="11" width="17.1640625" bestFit="1" customWidth="1"/>
    <col min="12" max="12" width="17.1640625" customWidth="1"/>
    <col min="13" max="13" width="10.6640625" bestFit="1" customWidth="1"/>
    <col min="14" max="14" width="11.6640625" bestFit="1" customWidth="1"/>
    <col min="15" max="16" width="11.6640625" customWidth="1"/>
    <col min="17" max="18" width="10.6640625" bestFit="1" customWidth="1"/>
    <col min="19" max="19" width="11.6640625" bestFit="1" customWidth="1"/>
    <col min="20" max="21" width="10.83203125" bestFit="1" customWidth="1"/>
    <col min="22" max="22" width="2.83203125" customWidth="1"/>
    <col min="23" max="24" width="10.83203125" bestFit="1" customWidth="1"/>
  </cols>
  <sheetData>
    <row r="1" spans="1:24" x14ac:dyDescent="0.2">
      <c r="A1" t="s">
        <v>120</v>
      </c>
    </row>
    <row r="2" spans="1:24" x14ac:dyDescent="0.2">
      <c r="A2" s="50" t="s">
        <v>119</v>
      </c>
    </row>
    <row r="3" spans="1:24" x14ac:dyDescent="0.2">
      <c r="A3" s="50"/>
      <c r="I3" t="s">
        <v>152</v>
      </c>
      <c r="W3" t="s">
        <v>144</v>
      </c>
    </row>
    <row r="4" spans="1:24" x14ac:dyDescent="0.2">
      <c r="A4" s="50" t="s">
        <v>67</v>
      </c>
      <c r="C4" s="128" t="s">
        <v>64</v>
      </c>
      <c r="D4" s="128"/>
      <c r="E4" s="128" t="s">
        <v>138</v>
      </c>
      <c r="F4" s="128" t="s">
        <v>139</v>
      </c>
      <c r="G4" s="128" t="s">
        <v>121</v>
      </c>
      <c r="H4" s="129">
        <v>44075</v>
      </c>
      <c r="I4" s="128" t="s">
        <v>153</v>
      </c>
      <c r="J4" s="128" t="s">
        <v>151</v>
      </c>
      <c r="K4" s="128" t="s">
        <v>155</v>
      </c>
      <c r="L4" s="128"/>
      <c r="M4" t="s">
        <v>134</v>
      </c>
      <c r="N4" t="s">
        <v>135</v>
      </c>
      <c r="O4" t="s">
        <v>140</v>
      </c>
      <c r="P4" t="s">
        <v>141</v>
      </c>
      <c r="Q4" t="s">
        <v>136</v>
      </c>
      <c r="R4" t="s">
        <v>137</v>
      </c>
      <c r="S4">
        <v>2020</v>
      </c>
      <c r="T4" t="s">
        <v>142</v>
      </c>
      <c r="U4" t="s">
        <v>143</v>
      </c>
      <c r="W4" t="s">
        <v>142</v>
      </c>
      <c r="X4" t="s">
        <v>143</v>
      </c>
    </row>
    <row r="5" spans="1:24" x14ac:dyDescent="0.2">
      <c r="A5" t="s">
        <v>154</v>
      </c>
      <c r="C5" s="128"/>
      <c r="D5" s="128"/>
      <c r="E5" s="128"/>
      <c r="F5" s="128"/>
      <c r="G5" s="128"/>
      <c r="I5" s="18">
        <v>13215</v>
      </c>
      <c r="J5" s="18">
        <v>3235</v>
      </c>
      <c r="K5">
        <f>SUM(H5:J5)</f>
        <v>16450</v>
      </c>
    </row>
    <row r="6" spans="1:24" x14ac:dyDescent="0.2">
      <c r="A6" t="s">
        <v>65</v>
      </c>
      <c r="B6" s="18">
        <v>8484</v>
      </c>
      <c r="C6" s="18">
        <f>B6*6</f>
        <v>50904</v>
      </c>
      <c r="D6" s="18"/>
      <c r="E6" s="18">
        <v>68677</v>
      </c>
      <c r="F6" s="81">
        <v>34584</v>
      </c>
      <c r="G6" s="18">
        <f>8484*3+8645*9+4</f>
        <v>103261</v>
      </c>
      <c r="H6" s="63">
        <f>8645*1</f>
        <v>8645</v>
      </c>
      <c r="I6" s="18">
        <v>26114</v>
      </c>
      <c r="J6" s="18">
        <v>70465</v>
      </c>
      <c r="K6">
        <f t="shared" ref="K6:K8" si="0">SUM(H6:J6)</f>
        <v>105224</v>
      </c>
      <c r="M6" s="18">
        <f>8484*3</f>
        <v>25452</v>
      </c>
      <c r="N6" s="18">
        <f>8645*3</f>
        <v>25935</v>
      </c>
      <c r="O6" s="63">
        <f>8645*2</f>
        <v>17290</v>
      </c>
      <c r="P6" s="63">
        <f>8645*1</f>
        <v>8645</v>
      </c>
      <c r="Q6" s="82">
        <f>8645*3</f>
        <v>25935</v>
      </c>
      <c r="R6" s="82">
        <f>8645*3+4</f>
        <v>25939</v>
      </c>
      <c r="S6" s="18">
        <f>SUM(M6:N6)+SUM(Q6:R6)</f>
        <v>103261</v>
      </c>
      <c r="T6" s="81">
        <f>SUM(M6:O6)</f>
        <v>68677</v>
      </c>
      <c r="U6" s="81">
        <f>P6+R6</f>
        <v>34584</v>
      </c>
      <c r="W6" s="81">
        <f>SUM(M6:O6)</f>
        <v>68677</v>
      </c>
      <c r="X6" s="81">
        <f>R6+P6</f>
        <v>34584</v>
      </c>
    </row>
    <row r="7" spans="1:24" x14ac:dyDescent="0.2">
      <c r="A7" t="s">
        <v>66</v>
      </c>
      <c r="C7" s="18">
        <v>20542.95</v>
      </c>
      <c r="D7" s="18"/>
      <c r="E7" s="18">
        <v>111589</v>
      </c>
      <c r="F7" s="81">
        <v>56892</v>
      </c>
      <c r="G7" s="18">
        <f>13945*4+13946*3+13971+14223*4</f>
        <v>168481</v>
      </c>
      <c r="H7" s="18">
        <f>14223</f>
        <v>14223</v>
      </c>
      <c r="I7" s="18">
        <v>39890</v>
      </c>
      <c r="J7" s="18">
        <v>119248</v>
      </c>
      <c r="K7">
        <f t="shared" si="0"/>
        <v>173361</v>
      </c>
      <c r="M7" s="18">
        <f>13945*3</f>
        <v>41835</v>
      </c>
      <c r="N7" s="18">
        <f>13946*3-1</f>
        <v>41837</v>
      </c>
      <c r="O7" s="18">
        <f>13946+13971</f>
        <v>27917</v>
      </c>
      <c r="P7" s="18">
        <f>14223</f>
        <v>14223</v>
      </c>
      <c r="Q7" s="87">
        <f>13946+13971+14223</f>
        <v>42140</v>
      </c>
      <c r="R7" s="87">
        <f>14223*3</f>
        <v>42669</v>
      </c>
      <c r="S7" s="18">
        <f t="shared" ref="S7:S9" si="1">SUM(M7:N7)+SUM(Q7:R7)</f>
        <v>168481</v>
      </c>
      <c r="T7" s="81">
        <f t="shared" ref="T7:T9" si="2">SUM(M7:O7)</f>
        <v>111589</v>
      </c>
      <c r="U7" s="81">
        <f t="shared" ref="U7:U9" si="3">P7+R7</f>
        <v>56892</v>
      </c>
      <c r="W7" s="81">
        <v>20000</v>
      </c>
      <c r="X7" s="18">
        <v>15000</v>
      </c>
    </row>
    <row r="8" spans="1:24" x14ac:dyDescent="0.2">
      <c r="A8" s="50" t="s">
        <v>115</v>
      </c>
      <c r="C8" s="18"/>
      <c r="D8" s="18"/>
      <c r="E8" s="18">
        <v>25000</v>
      </c>
      <c r="F8" s="81"/>
      <c r="G8" s="18">
        <f>SUM(E8:F8)</f>
        <v>25000</v>
      </c>
      <c r="H8" s="18"/>
      <c r="I8" s="18"/>
      <c r="J8" s="18">
        <v>25000</v>
      </c>
      <c r="K8">
        <f t="shared" si="0"/>
        <v>25000</v>
      </c>
      <c r="M8" s="18"/>
      <c r="N8" s="18"/>
      <c r="O8" s="18"/>
      <c r="P8" s="18"/>
      <c r="Q8" s="87"/>
      <c r="R8" s="87"/>
      <c r="S8" s="18"/>
      <c r="T8" s="81"/>
      <c r="U8" s="81"/>
      <c r="W8" s="81"/>
      <c r="X8" s="18"/>
    </row>
    <row r="9" spans="1:24" x14ac:dyDescent="0.2">
      <c r="C9" s="46">
        <f>SUM(C6:C7)</f>
        <v>71446.95</v>
      </c>
      <c r="D9" s="46"/>
      <c r="E9" s="46">
        <f>SUM(E6:E8)</f>
        <v>205266</v>
      </c>
      <c r="F9" s="46">
        <f>SUM(F6:F8)</f>
        <v>91476</v>
      </c>
      <c r="G9" s="46">
        <f>SUM(G6:G8)</f>
        <v>296742</v>
      </c>
      <c r="H9" s="46">
        <f t="shared" ref="H9:K9" si="4">SUM(H6:H8)</f>
        <v>22868</v>
      </c>
      <c r="I9" s="46">
        <f t="shared" si="4"/>
        <v>66004</v>
      </c>
      <c r="J9" s="46">
        <f t="shared" si="4"/>
        <v>214713</v>
      </c>
      <c r="K9" s="46">
        <f t="shared" si="4"/>
        <v>303585</v>
      </c>
      <c r="L9" s="18"/>
      <c r="M9" s="18">
        <f>SUM(M6:M7)</f>
        <v>67287</v>
      </c>
      <c r="N9" s="18">
        <f>SUM(N6:N7)</f>
        <v>67772</v>
      </c>
      <c r="O9" s="18">
        <f t="shared" ref="O9:R9" si="5">SUM(O6:O7)</f>
        <v>45207</v>
      </c>
      <c r="P9" s="18">
        <f t="shared" si="5"/>
        <v>22868</v>
      </c>
      <c r="Q9" s="18">
        <f t="shared" si="5"/>
        <v>68075</v>
      </c>
      <c r="R9" s="18">
        <f t="shared" si="5"/>
        <v>68608</v>
      </c>
      <c r="S9" s="18">
        <f t="shared" si="1"/>
        <v>271742</v>
      </c>
      <c r="T9" s="81">
        <f t="shared" si="2"/>
        <v>180266</v>
      </c>
      <c r="U9" s="81">
        <f t="shared" si="3"/>
        <v>91476</v>
      </c>
      <c r="W9" s="81">
        <f>SUM(W6:W7)</f>
        <v>88677</v>
      </c>
      <c r="X9" s="81">
        <f>SUM(X6:X7)</f>
        <v>49584</v>
      </c>
    </row>
    <row r="10" spans="1:24" x14ac:dyDescent="0.2">
      <c r="A10" s="49" t="s">
        <v>115</v>
      </c>
      <c r="G10" s="18"/>
      <c r="H10" s="18"/>
      <c r="I10" s="18">
        <f>SUM(H9:I9)</f>
        <v>88872</v>
      </c>
      <c r="J10" s="18"/>
      <c r="K10" s="18"/>
      <c r="L10" s="18"/>
      <c r="N10" s="86">
        <f>N9+Q7+R7</f>
        <v>152581</v>
      </c>
      <c r="O10" s="81">
        <f>N10+M9+O6</f>
        <v>237158</v>
      </c>
      <c r="P10" s="81"/>
      <c r="R10" s="81">
        <f>P6+R6</f>
        <v>34584</v>
      </c>
      <c r="S10" s="18"/>
      <c r="U10" s="81">
        <f>SUM(T9:U9)</f>
        <v>271742</v>
      </c>
      <c r="X10" s="81">
        <f>SUM(W9:X9)</f>
        <v>138261</v>
      </c>
    </row>
    <row r="11" spans="1:24" x14ac:dyDescent="0.2">
      <c r="A11" t="s">
        <v>116</v>
      </c>
      <c r="G11" s="18"/>
      <c r="H11" s="18" t="s">
        <v>156</v>
      </c>
      <c r="I11" s="18">
        <f>H7+I7</f>
        <v>54113</v>
      </c>
      <c r="J11" s="18" t="s">
        <v>68</v>
      </c>
      <c r="K11" s="18"/>
      <c r="L11" s="18"/>
      <c r="R11" s="81">
        <f>O10+R10-U10</f>
        <v>0</v>
      </c>
      <c r="W11" s="18">
        <v>88700</v>
      </c>
      <c r="X11" s="18">
        <v>49600</v>
      </c>
    </row>
    <row r="12" spans="1:24" x14ac:dyDescent="0.2">
      <c r="G12" s="18">
        <v>285360</v>
      </c>
      <c r="H12" s="18"/>
      <c r="I12" s="18">
        <f>I10-I11</f>
        <v>34759</v>
      </c>
      <c r="J12" s="48">
        <v>4.0000000000000002E-4</v>
      </c>
      <c r="K12" s="18">
        <f>G12*J12*5</f>
        <v>570.72</v>
      </c>
      <c r="L12" s="18"/>
      <c r="R12">
        <v>25000</v>
      </c>
    </row>
    <row r="13" spans="1:24" x14ac:dyDescent="0.2">
      <c r="G13" s="18"/>
      <c r="H13" s="18"/>
      <c r="I13" s="18"/>
      <c r="J13" s="18"/>
      <c r="K13" s="18"/>
      <c r="L13" s="18"/>
    </row>
    <row r="14" spans="1:24" x14ac:dyDescent="0.2">
      <c r="A14" s="49" t="s">
        <v>113</v>
      </c>
      <c r="G14" s="18"/>
      <c r="H14" s="18"/>
      <c r="I14" s="18"/>
      <c r="J14" s="18"/>
      <c r="K14" s="18"/>
      <c r="L14" s="18"/>
    </row>
    <row r="15" spans="1:24" x14ac:dyDescent="0.2">
      <c r="A15" t="s">
        <v>114</v>
      </c>
      <c r="G15" s="18"/>
      <c r="H15" s="18"/>
      <c r="I15" s="18"/>
      <c r="J15" s="18"/>
      <c r="K15" s="18"/>
      <c r="L15" s="18"/>
    </row>
    <row r="16" spans="1:24" x14ac:dyDescent="0.2">
      <c r="G16" s="18"/>
      <c r="H16" s="18"/>
      <c r="I16" s="18"/>
      <c r="J16" s="18"/>
      <c r="K16" s="18"/>
      <c r="L16" s="18"/>
    </row>
    <row r="17" spans="1:12" x14ac:dyDescent="0.2">
      <c r="A17" s="49" t="s">
        <v>117</v>
      </c>
      <c r="G17" s="18"/>
      <c r="H17" s="18"/>
      <c r="I17" s="18"/>
      <c r="J17" s="18"/>
      <c r="K17" s="18"/>
      <c r="L17" s="18"/>
    </row>
    <row r="18" spans="1:12" x14ac:dyDescent="0.2">
      <c r="A18" s="53" t="s">
        <v>165</v>
      </c>
      <c r="G18" s="18"/>
      <c r="H18" s="18"/>
      <c r="I18" s="18"/>
      <c r="J18" s="18"/>
      <c r="K18" s="18"/>
      <c r="L18" s="18"/>
    </row>
    <row r="19" spans="1:12" x14ac:dyDescent="0.2">
      <c r="G19" s="18"/>
      <c r="H19" s="18"/>
      <c r="I19" s="18"/>
      <c r="J19" s="18"/>
      <c r="K19" s="18"/>
      <c r="L19" s="18"/>
    </row>
    <row r="20" spans="1:12" x14ac:dyDescent="0.2">
      <c r="A20" s="50" t="s">
        <v>118</v>
      </c>
      <c r="G20" s="18"/>
      <c r="H20" s="18"/>
      <c r="I20" s="18"/>
      <c r="J20" s="18"/>
      <c r="K20" s="18"/>
      <c r="L20" s="18"/>
    </row>
    <row r="21" spans="1:12" x14ac:dyDescent="0.2">
      <c r="G21" s="18"/>
      <c r="H21" s="18"/>
      <c r="I21" s="18"/>
      <c r="J21" s="18"/>
      <c r="K21" s="18"/>
      <c r="L21" s="18"/>
    </row>
    <row r="22" spans="1:12" x14ac:dyDescent="0.2">
      <c r="A22" s="50" t="s">
        <v>71</v>
      </c>
    </row>
    <row r="23" spans="1:12" x14ac:dyDescent="0.2">
      <c r="A23" t="s">
        <v>72</v>
      </c>
      <c r="B23" s="18">
        <v>120000</v>
      </c>
      <c r="C23" s="81"/>
      <c r="G23" s="18">
        <v>120000</v>
      </c>
      <c r="H23" s="18"/>
      <c r="I23" s="18"/>
    </row>
    <row r="24" spans="1:12" x14ac:dyDescent="0.2">
      <c r="A24" t="s">
        <v>69</v>
      </c>
      <c r="B24" s="18">
        <v>70000</v>
      </c>
      <c r="G24" s="18">
        <v>70000</v>
      </c>
      <c r="H24" s="18"/>
      <c r="I24" s="18"/>
    </row>
    <row r="25" spans="1:12" x14ac:dyDescent="0.2">
      <c r="A25" t="s">
        <v>70</v>
      </c>
      <c r="B25" s="18">
        <v>50000</v>
      </c>
      <c r="G25" s="18">
        <v>50000</v>
      </c>
      <c r="H25" s="18"/>
      <c r="I25" s="18"/>
    </row>
    <row r="26" spans="1:12" x14ac:dyDescent="0.2">
      <c r="A26" t="s">
        <v>73</v>
      </c>
      <c r="B26" s="52">
        <f>26*40*12</f>
        <v>12480</v>
      </c>
      <c r="G26" s="18">
        <v>13500</v>
      </c>
      <c r="H26" s="18"/>
      <c r="I26" s="18"/>
    </row>
    <row r="27" spans="1:12" x14ac:dyDescent="0.2">
      <c r="B27" s="18">
        <f>SUM(B23:B26)</f>
        <v>252480</v>
      </c>
      <c r="C27" s="81">
        <f>B27/12</f>
        <v>21040</v>
      </c>
      <c r="G27" s="18">
        <f>SUM(G23:G26)</f>
        <v>253500</v>
      </c>
      <c r="H27" s="18"/>
      <c r="I27" s="18"/>
    </row>
    <row r="28" spans="1:12" x14ac:dyDescent="0.2">
      <c r="A28" t="s">
        <v>74</v>
      </c>
      <c r="B28" s="18">
        <f>B27/26</f>
        <v>9710.7692307692305</v>
      </c>
    </row>
    <row r="29" spans="1:12" x14ac:dyDescent="0.2">
      <c r="A29" t="s">
        <v>75</v>
      </c>
      <c r="B29" s="51">
        <f>B28*11</f>
        <v>106818.46153846153</v>
      </c>
    </row>
    <row r="31" spans="1:12" x14ac:dyDescent="0.2">
      <c r="A31" s="50" t="s">
        <v>76</v>
      </c>
    </row>
    <row r="32" spans="1:12" x14ac:dyDescent="0.2">
      <c r="A32" t="s">
        <v>77</v>
      </c>
      <c r="B32" s="18">
        <f>350</f>
        <v>350</v>
      </c>
    </row>
    <row r="33" spans="1:1" x14ac:dyDescent="0.2">
      <c r="A33" t="s">
        <v>78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2021</vt:lpstr>
      <vt:lpstr>Provincial</vt:lpstr>
      <vt:lpstr>Regional</vt:lpstr>
      <vt:lpstr>National</vt:lpstr>
      <vt:lpstr>notes and calcuation 2021</vt:lpstr>
      <vt:lpstr>'2021'!Print_Area</vt:lpstr>
      <vt:lpstr>'2021'!Print_Titles</vt:lpstr>
      <vt:lpstr>National!Print_Titles</vt:lpstr>
      <vt:lpstr>Provincial!Print_Titles</vt:lpstr>
      <vt:lpstr>Regional!Print_Titles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Steckler</dc:creator>
  <cp:lastModifiedBy>Elaine Allan</cp:lastModifiedBy>
  <cp:lastPrinted>2019-09-17T05:09:01Z</cp:lastPrinted>
  <dcterms:created xsi:type="dcterms:W3CDTF">2018-10-24T18:47:12Z</dcterms:created>
  <dcterms:modified xsi:type="dcterms:W3CDTF">2020-06-08T20:06:20Z</dcterms:modified>
</cp:coreProperties>
</file>