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aine3/Library/Mobile Documents/com~apple~CloudDocs/Documents/Bookkeeping/"/>
    </mc:Choice>
  </mc:AlternateContent>
  <xr:revisionPtr revIDLastSave="0" documentId="8_{E1E377BA-2AD8-1B43-9A0A-983EFF20CFEC}" xr6:coauthVersionLast="47" xr6:coauthVersionMax="47" xr10:uidLastSave="{00000000-0000-0000-0000-000000000000}"/>
  <bookViews>
    <workbookView xWindow="0" yWindow="460" windowWidth="28800" windowHeight="16240" xr2:uid="{35C2CE6B-5A8C-47F0-931B-5A2C0522046B}"/>
  </bookViews>
  <sheets>
    <sheet name="Sep 2021" sheetId="48" r:id="rId1"/>
    <sheet name="Aug 2021" sheetId="47" r:id="rId2"/>
    <sheet name="July 2021" sheetId="46" r:id="rId3"/>
    <sheet name="Jun 2021" sheetId="44" r:id="rId4"/>
    <sheet name="May 2021" sheetId="43" r:id="rId5"/>
    <sheet name="Apr 2021 " sheetId="42" r:id="rId6"/>
    <sheet name="Mar 2021" sheetId="41" r:id="rId7"/>
    <sheet name="Feb 2021" sheetId="40" r:id="rId8"/>
    <sheet name="Jan 2021" sheetId="39" r:id="rId9"/>
    <sheet name="Dec 2020" sheetId="38" r:id="rId10"/>
    <sheet name="Nov 2020" sheetId="37" r:id="rId11"/>
    <sheet name="Oct 2020" sheetId="36" r:id="rId12"/>
    <sheet name="Sep 2020" sheetId="35" r:id="rId13"/>
    <sheet name="Aug 2020" sheetId="33" r:id="rId14"/>
    <sheet name="July 2020" sheetId="32" r:id="rId15"/>
    <sheet name="June 2020" sheetId="31" r:id="rId16"/>
    <sheet name="May 2020" sheetId="30" r:id="rId17"/>
    <sheet name="Apr 2020" sheetId="29" r:id="rId18"/>
    <sheet name="Mar 2020" sheetId="28" r:id="rId19"/>
    <sheet name="Feb 2020" sheetId="27" r:id="rId20"/>
    <sheet name="Jan 2020" sheetId="26" r:id="rId21"/>
    <sheet name="Dec 2019" sheetId="25" r:id="rId22"/>
    <sheet name="Nov 2019" sheetId="24" r:id="rId23"/>
    <sheet name="Oct 2019" sheetId="23" r:id="rId24"/>
    <sheet name="Sep 2019" sheetId="22" r:id="rId25"/>
    <sheet name="Aug 2019" sheetId="21" r:id="rId26"/>
    <sheet name="July 2019" sheetId="20" r:id="rId27"/>
    <sheet name="June 2019" sheetId="19" r:id="rId28"/>
    <sheet name="May 2019" sheetId="18" r:id="rId29"/>
    <sheet name="Apr 2019" sheetId="17" r:id="rId30"/>
    <sheet name="Mar 2019" sheetId="16" r:id="rId31"/>
    <sheet name="Feb 19" sheetId="15" r:id="rId32"/>
    <sheet name="Jan 19" sheetId="14" r:id="rId33"/>
    <sheet name="Dec" sheetId="13" r:id="rId34"/>
    <sheet name="Nov" sheetId="12" r:id="rId35"/>
    <sheet name="Oct" sheetId="11" r:id="rId36"/>
    <sheet name="Sep" sheetId="10" r:id="rId37"/>
    <sheet name="Aug" sheetId="9" r:id="rId38"/>
    <sheet name="Jul" sheetId="8" r:id="rId39"/>
    <sheet name="Jun" sheetId="7" r:id="rId40"/>
    <sheet name="May" sheetId="6" r:id="rId41"/>
    <sheet name="Apr" sheetId="5" r:id="rId42"/>
    <sheet name="Mar" sheetId="4" r:id="rId43"/>
    <sheet name="Feb" sheetId="3" r:id="rId44"/>
    <sheet name="Jan" sheetId="2" r:id="rId45"/>
    <sheet name="Dec 2017" sheetId="1" r:id="rId46"/>
  </sheets>
  <externalReferences>
    <externalReference r:id="rId47"/>
  </externalReferences>
  <definedNames>
    <definedName name="_xlnm.Print_Area" localSheetId="5">'Apr 2021 '!$A$1:$H$26</definedName>
    <definedName name="_xlnm.Print_Area" localSheetId="13">'Aug 2020'!$A$1:$G$19</definedName>
    <definedName name="_xlnm.Print_Area" localSheetId="1">'Aug 2021'!$A$1:$H$25</definedName>
    <definedName name="_xlnm.Print_Area" localSheetId="9">'Dec 2020'!$A$1:$H$23</definedName>
    <definedName name="_xlnm.Print_Area" localSheetId="7">'Feb 2021'!$A$1:$H$26</definedName>
    <definedName name="_xlnm.Print_Area" localSheetId="8">'Jan 2021'!$A$1:$H$27</definedName>
    <definedName name="_xlnm.Print_Area" localSheetId="2">'July 2021'!$A$1:$H$29</definedName>
    <definedName name="_xlnm.Print_Area" localSheetId="3">'Jun 2021'!$A$1:$H$26</definedName>
    <definedName name="_xlnm.Print_Area" localSheetId="6">'Mar 2021'!$A$1:$H$26</definedName>
    <definedName name="_xlnm.Print_Area" localSheetId="4">'May 2021'!$A$1:$H$26</definedName>
    <definedName name="_xlnm.Print_Area" localSheetId="10">'Nov 2020'!$A$1:$H$22</definedName>
    <definedName name="_xlnm.Print_Area" localSheetId="11">'Oct 2020'!$A$1:$H$22</definedName>
    <definedName name="_xlnm.Print_Area" localSheetId="12">'Sep 2020'!$A$1:$H$22</definedName>
    <definedName name="_xlnm.Print_Area" localSheetId="0">'Sep 2021'!$A$1:$H$25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48" l="1"/>
  <c r="H15" i="48"/>
  <c r="H23" i="48"/>
  <c r="B23" i="48"/>
  <c r="B22" i="48"/>
  <c r="B21" i="48"/>
  <c r="B20" i="48"/>
  <c r="B19" i="48"/>
  <c r="B18" i="48"/>
  <c r="B17" i="48"/>
  <c r="B16" i="48"/>
  <c r="E23" i="48"/>
  <c r="G23" i="48" s="1"/>
  <c r="E22" i="48"/>
  <c r="G22" i="48" s="1"/>
  <c r="E21" i="48"/>
  <c r="E20" i="48"/>
  <c r="E19" i="48"/>
  <c r="E18" i="48"/>
  <c r="G18" i="48" s="1"/>
  <c r="E17" i="48"/>
  <c r="G17" i="48" s="1"/>
  <c r="E16" i="48"/>
  <c r="E15" i="48"/>
  <c r="B15" i="48"/>
  <c r="E7" i="48"/>
  <c r="G7" i="48" s="1"/>
  <c r="B7" i="48"/>
  <c r="E6" i="48"/>
  <c r="G6" i="48" s="1"/>
  <c r="B6" i="48"/>
  <c r="F24" i="48"/>
  <c r="D24" i="48"/>
  <c r="G21" i="48"/>
  <c r="G20" i="48"/>
  <c r="C19" i="48"/>
  <c r="C24" i="48" s="1"/>
  <c r="G16" i="48"/>
  <c r="G14" i="48"/>
  <c r="G13" i="48"/>
  <c r="G12" i="48"/>
  <c r="G10" i="48"/>
  <c r="F8" i="48"/>
  <c r="D8" i="48"/>
  <c r="D25" i="48" s="1"/>
  <c r="C8" i="48"/>
  <c r="C25" i="48" s="1"/>
  <c r="G21" i="47"/>
  <c r="G24" i="47" s="1"/>
  <c r="G25" i="47" s="1"/>
  <c r="C24" i="47"/>
  <c r="C25" i="47" s="1"/>
  <c r="C19" i="47"/>
  <c r="E26" i="46"/>
  <c r="E25" i="46"/>
  <c r="G25" i="46" s="1"/>
  <c r="E21" i="46"/>
  <c r="G21" i="46" s="1"/>
  <c r="G22" i="46"/>
  <c r="F24" i="47"/>
  <c r="E24" i="47"/>
  <c r="D24" i="47"/>
  <c r="G23" i="47"/>
  <c r="G22" i="47"/>
  <c r="G20" i="47"/>
  <c r="G18" i="47"/>
  <c r="G17" i="47"/>
  <c r="G16" i="47"/>
  <c r="G15" i="47"/>
  <c r="G14" i="47"/>
  <c r="G13" i="47"/>
  <c r="G12" i="47"/>
  <c r="G11" i="47"/>
  <c r="G10" i="47"/>
  <c r="F8" i="47"/>
  <c r="E8" i="47"/>
  <c r="D8" i="47"/>
  <c r="C8" i="47"/>
  <c r="G7" i="47"/>
  <c r="G6" i="47"/>
  <c r="D28" i="46"/>
  <c r="G23" i="46"/>
  <c r="G24" i="46"/>
  <c r="G26" i="46"/>
  <c r="G27" i="46"/>
  <c r="G20" i="46"/>
  <c r="G19" i="46"/>
  <c r="B26" i="46"/>
  <c r="B25" i="46"/>
  <c r="B21" i="46"/>
  <c r="F28" i="46"/>
  <c r="C28" i="46"/>
  <c r="G18" i="46"/>
  <c r="G17" i="46"/>
  <c r="G16" i="46"/>
  <c r="G15" i="46"/>
  <c r="G14" i="46"/>
  <c r="G13" i="46"/>
  <c r="G12" i="46"/>
  <c r="G11" i="46"/>
  <c r="G10" i="46"/>
  <c r="F8" i="46"/>
  <c r="E8" i="46"/>
  <c r="D8" i="46"/>
  <c r="C8" i="46"/>
  <c r="G7" i="46"/>
  <c r="G6" i="46"/>
  <c r="B23" i="44"/>
  <c r="B22" i="44"/>
  <c r="B20" i="44"/>
  <c r="F25" i="44"/>
  <c r="F26" i="44" s="1"/>
  <c r="D25" i="44"/>
  <c r="C25" i="44"/>
  <c r="G24" i="44"/>
  <c r="G23" i="44"/>
  <c r="E23" i="44"/>
  <c r="E25" i="44" s="1"/>
  <c r="E22" i="44"/>
  <c r="G22" i="44" s="1"/>
  <c r="G21" i="44"/>
  <c r="B21" i="44"/>
  <c r="E20" i="44"/>
  <c r="G20" i="44" s="1"/>
  <c r="G19" i="44"/>
  <c r="B19" i="44"/>
  <c r="G18" i="44"/>
  <c r="G17" i="44"/>
  <c r="G16" i="44"/>
  <c r="G15" i="44"/>
  <c r="G14" i="44"/>
  <c r="G13" i="44"/>
  <c r="G12" i="44"/>
  <c r="G11" i="44"/>
  <c r="G10" i="44"/>
  <c r="F8" i="44"/>
  <c r="E8" i="44"/>
  <c r="D8" i="44"/>
  <c r="D26" i="44" s="1"/>
  <c r="C8" i="44"/>
  <c r="C26" i="44" s="1"/>
  <c r="G7" i="44"/>
  <c r="G8" i="44" s="1"/>
  <c r="G6" i="44"/>
  <c r="B7" i="43"/>
  <c r="E7" i="36"/>
  <c r="E23" i="43"/>
  <c r="G23" i="43" s="1"/>
  <c r="B23" i="43"/>
  <c r="B22" i="43"/>
  <c r="B21" i="43"/>
  <c r="B20" i="43"/>
  <c r="B19" i="43"/>
  <c r="F25" i="43"/>
  <c r="D25" i="43"/>
  <c r="C25" i="43"/>
  <c r="G24" i="43"/>
  <c r="E22" i="43"/>
  <c r="G22" i="43" s="1"/>
  <c r="E21" i="43"/>
  <c r="G21" i="43" s="1"/>
  <c r="E20" i="43"/>
  <c r="G20" i="43" s="1"/>
  <c r="G19" i="43"/>
  <c r="G18" i="43"/>
  <c r="G17" i="43"/>
  <c r="G16" i="43"/>
  <c r="G15" i="43"/>
  <c r="G14" i="43"/>
  <c r="G13" i="43"/>
  <c r="G12" i="43"/>
  <c r="G11" i="43"/>
  <c r="G10" i="43"/>
  <c r="F8" i="43"/>
  <c r="F26" i="43" s="1"/>
  <c r="D8" i="43"/>
  <c r="D26" i="43" s="1"/>
  <c r="C8" i="43"/>
  <c r="E8" i="43"/>
  <c r="G6" i="43"/>
  <c r="B23" i="42"/>
  <c r="B22" i="42"/>
  <c r="B21" i="42"/>
  <c r="B20" i="42"/>
  <c r="B19" i="42"/>
  <c r="B7" i="42"/>
  <c r="D26" i="42"/>
  <c r="F25" i="42"/>
  <c r="D25" i="42"/>
  <c r="C25" i="42"/>
  <c r="G24" i="42"/>
  <c r="E23" i="42"/>
  <c r="G23" i="42" s="1"/>
  <c r="G22" i="42"/>
  <c r="E22" i="42"/>
  <c r="E21" i="42"/>
  <c r="G21" i="42" s="1"/>
  <c r="E20" i="42"/>
  <c r="G20" i="42" s="1"/>
  <c r="E19" i="42"/>
  <c r="E25" i="42" s="1"/>
  <c r="G18" i="42"/>
  <c r="G17" i="42"/>
  <c r="G16" i="42"/>
  <c r="G15" i="42"/>
  <c r="G14" i="42"/>
  <c r="G13" i="42"/>
  <c r="G12" i="42"/>
  <c r="G11" i="42"/>
  <c r="G10" i="42"/>
  <c r="F8" i="42"/>
  <c r="F26" i="42" s="1"/>
  <c r="D8" i="42"/>
  <c r="C8" i="42"/>
  <c r="E7" i="42"/>
  <c r="G7" i="42" s="1"/>
  <c r="G6" i="42"/>
  <c r="B23" i="41"/>
  <c r="B22" i="41"/>
  <c r="B21" i="41"/>
  <c r="B20" i="41"/>
  <c r="B19" i="41"/>
  <c r="B7" i="41"/>
  <c r="F25" i="41"/>
  <c r="D25" i="41"/>
  <c r="C25" i="41"/>
  <c r="G24" i="41"/>
  <c r="E23" i="41"/>
  <c r="G23" i="41" s="1"/>
  <c r="E22" i="41"/>
  <c r="G22" i="41" s="1"/>
  <c r="E21" i="41"/>
  <c r="E20" i="41"/>
  <c r="G20" i="41" s="1"/>
  <c r="E19" i="41"/>
  <c r="G19" i="41" s="1"/>
  <c r="G18" i="41"/>
  <c r="G17" i="41"/>
  <c r="G16" i="41"/>
  <c r="G15" i="41"/>
  <c r="G14" i="41"/>
  <c r="G13" i="41"/>
  <c r="G12" i="41"/>
  <c r="G11" i="41"/>
  <c r="G10" i="41"/>
  <c r="F8" i="41"/>
  <c r="F26" i="41" s="1"/>
  <c r="D8" i="41"/>
  <c r="C8" i="41"/>
  <c r="E7" i="41"/>
  <c r="G7" i="41" s="1"/>
  <c r="G8" i="41" s="1"/>
  <c r="G6" i="41"/>
  <c r="B6" i="41"/>
  <c r="D25" i="40"/>
  <c r="F25" i="40"/>
  <c r="G25" i="40"/>
  <c r="C25" i="40"/>
  <c r="G10" i="40"/>
  <c r="B23" i="40"/>
  <c r="B22" i="40"/>
  <c r="B21" i="40"/>
  <c r="B20" i="40"/>
  <c r="B19" i="40"/>
  <c r="B7" i="40"/>
  <c r="G24" i="40"/>
  <c r="E23" i="40"/>
  <c r="G23" i="40" s="1"/>
  <c r="E22" i="40"/>
  <c r="G22" i="40" s="1"/>
  <c r="E21" i="40"/>
  <c r="G21" i="40" s="1"/>
  <c r="E20" i="40"/>
  <c r="G20" i="40" s="1"/>
  <c r="E19" i="40"/>
  <c r="G19" i="40" s="1"/>
  <c r="G18" i="40"/>
  <c r="G17" i="40"/>
  <c r="G16" i="40"/>
  <c r="G15" i="40"/>
  <c r="G14" i="40"/>
  <c r="G13" i="40"/>
  <c r="G12" i="40"/>
  <c r="G11" i="40"/>
  <c r="F8" i="40"/>
  <c r="F26" i="40" s="1"/>
  <c r="D8" i="40"/>
  <c r="D26" i="40" s="1"/>
  <c r="C8" i="40"/>
  <c r="C26" i="40" s="1"/>
  <c r="E7" i="40"/>
  <c r="E8" i="40" s="1"/>
  <c r="G6" i="40"/>
  <c r="B6" i="40"/>
  <c r="G18" i="39"/>
  <c r="G11" i="39"/>
  <c r="G16" i="39"/>
  <c r="G17" i="39"/>
  <c r="G15" i="39"/>
  <c r="B23" i="39"/>
  <c r="B22" i="39"/>
  <c r="B21" i="39"/>
  <c r="B20" i="39"/>
  <c r="B19" i="39"/>
  <c r="B7" i="39"/>
  <c r="F25" i="39"/>
  <c r="G24" i="39"/>
  <c r="E23" i="39"/>
  <c r="G23" i="39" s="1"/>
  <c r="E22" i="39"/>
  <c r="G22" i="39" s="1"/>
  <c r="E21" i="39"/>
  <c r="G21" i="39" s="1"/>
  <c r="E20" i="39"/>
  <c r="G20" i="39" s="1"/>
  <c r="E19" i="39"/>
  <c r="G19" i="39" s="1"/>
  <c r="G14" i="39"/>
  <c r="G13" i="39"/>
  <c r="G12" i="39"/>
  <c r="G10" i="39"/>
  <c r="F8" i="39"/>
  <c r="D8" i="39"/>
  <c r="D25" i="39" s="1"/>
  <c r="C8" i="39"/>
  <c r="C25" i="39" s="1"/>
  <c r="E7" i="39"/>
  <c r="E8" i="39" s="1"/>
  <c r="G6" i="39"/>
  <c r="B6" i="39"/>
  <c r="B7" i="38"/>
  <c r="G14" i="38"/>
  <c r="B19" i="38"/>
  <c r="B18" i="38"/>
  <c r="B17" i="38"/>
  <c r="B16" i="38"/>
  <c r="B15" i="38"/>
  <c r="D21" i="38"/>
  <c r="G20" i="38"/>
  <c r="G19" i="38"/>
  <c r="E19" i="38"/>
  <c r="E18" i="38"/>
  <c r="G18" i="38" s="1"/>
  <c r="E17" i="38"/>
  <c r="G17" i="38" s="1"/>
  <c r="E16" i="38"/>
  <c r="G16" i="38" s="1"/>
  <c r="E15" i="38"/>
  <c r="G15" i="38" s="1"/>
  <c r="G13" i="38"/>
  <c r="G12" i="38"/>
  <c r="G11" i="38"/>
  <c r="G10" i="38"/>
  <c r="F8" i="38"/>
  <c r="F21" i="38" s="1"/>
  <c r="D8" i="38"/>
  <c r="C8" i="38"/>
  <c r="C21" i="38" s="1"/>
  <c r="E7" i="38"/>
  <c r="G7" i="38" s="1"/>
  <c r="G6" i="38"/>
  <c r="B6" i="38"/>
  <c r="E22" i="37"/>
  <c r="E23" i="36"/>
  <c r="E20" i="36"/>
  <c r="G19" i="36"/>
  <c r="E18" i="36"/>
  <c r="G18" i="36" s="1"/>
  <c r="B18" i="36"/>
  <c r="E17" i="36"/>
  <c r="G17" i="36" s="1"/>
  <c r="B17" i="36"/>
  <c r="E16" i="36"/>
  <c r="G16" i="36" s="1"/>
  <c r="B16" i="36"/>
  <c r="G15" i="36"/>
  <c r="E15" i="36"/>
  <c r="B15" i="36"/>
  <c r="E14" i="36"/>
  <c r="G14" i="36" s="1"/>
  <c r="B14" i="36"/>
  <c r="G13" i="36"/>
  <c r="G12" i="36"/>
  <c r="G11" i="36"/>
  <c r="G10" i="36"/>
  <c r="F8" i="36"/>
  <c r="F20" i="36" s="1"/>
  <c r="D8" i="36"/>
  <c r="D20" i="36" s="1"/>
  <c r="C8" i="36"/>
  <c r="C20" i="36" s="1"/>
  <c r="G7" i="36"/>
  <c r="B7" i="36"/>
  <c r="G6" i="36"/>
  <c r="G8" i="36" s="1"/>
  <c r="B6" i="36"/>
  <c r="F25" i="48" l="1"/>
  <c r="E24" i="48"/>
  <c r="G15" i="48"/>
  <c r="G8" i="48"/>
  <c r="E8" i="48"/>
  <c r="G19" i="48"/>
  <c r="G19" i="47"/>
  <c r="F25" i="47"/>
  <c r="G8" i="47"/>
  <c r="D25" i="47"/>
  <c r="E25" i="47"/>
  <c r="C29" i="46"/>
  <c r="F29" i="46"/>
  <c r="D29" i="46"/>
  <c r="G8" i="46"/>
  <c r="E28" i="46"/>
  <c r="E29" i="46" s="1"/>
  <c r="G28" i="46"/>
  <c r="E26" i="44"/>
  <c r="G25" i="44"/>
  <c r="G26" i="44" s="1"/>
  <c r="E25" i="43"/>
  <c r="E26" i="43" s="1"/>
  <c r="C26" i="43"/>
  <c r="G25" i="43"/>
  <c r="G7" i="43"/>
  <c r="G8" i="43" s="1"/>
  <c r="C26" i="42"/>
  <c r="E8" i="42"/>
  <c r="E26" i="42" s="1"/>
  <c r="G8" i="42"/>
  <c r="G19" i="42"/>
  <c r="G25" i="42" s="1"/>
  <c r="D26" i="41"/>
  <c r="C26" i="41"/>
  <c r="E25" i="41"/>
  <c r="G21" i="41"/>
  <c r="E8" i="41"/>
  <c r="E26" i="41"/>
  <c r="G25" i="41"/>
  <c r="G26" i="41" s="1"/>
  <c r="E25" i="40"/>
  <c r="E26" i="40" s="1"/>
  <c r="G7" i="40"/>
  <c r="G8" i="40" s="1"/>
  <c r="G26" i="40" s="1"/>
  <c r="E25" i="39"/>
  <c r="E26" i="39" s="1"/>
  <c r="G7" i="39"/>
  <c r="G8" i="39" s="1"/>
  <c r="G25" i="39" s="1"/>
  <c r="E8" i="38"/>
  <c r="E21" i="38" s="1"/>
  <c r="E22" i="38" s="1"/>
  <c r="G8" i="38"/>
  <c r="G21" i="38" s="1"/>
  <c r="G20" i="36"/>
  <c r="E8" i="36"/>
  <c r="E25" i="48" l="1"/>
  <c r="G24" i="48"/>
  <c r="G25" i="48" s="1"/>
  <c r="G29" i="46"/>
  <c r="G26" i="43"/>
  <c r="G26" i="42"/>
  <c r="F20" i="37"/>
  <c r="G19" i="37"/>
  <c r="E18" i="37"/>
  <c r="G18" i="37" s="1"/>
  <c r="B18" i="37"/>
  <c r="G17" i="37"/>
  <c r="E17" i="37"/>
  <c r="B17" i="37"/>
  <c r="E16" i="37"/>
  <c r="G16" i="37" s="1"/>
  <c r="B16" i="37"/>
  <c r="E15" i="37"/>
  <c r="G15" i="37" s="1"/>
  <c r="B15" i="37"/>
  <c r="E14" i="37"/>
  <c r="G14" i="37" s="1"/>
  <c r="B14" i="37"/>
  <c r="G13" i="37"/>
  <c r="G12" i="37"/>
  <c r="G11" i="37"/>
  <c r="G10" i="37"/>
  <c r="F8" i="37"/>
  <c r="D8" i="37"/>
  <c r="D20" i="37" s="1"/>
  <c r="C8" i="37"/>
  <c r="C20" i="37" s="1"/>
  <c r="E7" i="37"/>
  <c r="E8" i="37" s="1"/>
  <c r="E20" i="37" s="1"/>
  <c r="B7" i="37"/>
  <c r="G6" i="37"/>
  <c r="B6" i="37"/>
  <c r="G7" i="37" l="1"/>
  <c r="G8" i="37" s="1"/>
  <c r="G20" i="37" s="1"/>
  <c r="B17" i="35" l="1"/>
  <c r="B16" i="35"/>
  <c r="B15" i="35"/>
  <c r="B14" i="35"/>
  <c r="B6" i="35"/>
  <c r="E20" i="35"/>
  <c r="E14" i="35"/>
  <c r="G14" i="35" s="1"/>
  <c r="E15" i="35"/>
  <c r="E16" i="35"/>
  <c r="E17" i="35"/>
  <c r="G17" i="35" s="1"/>
  <c r="B18" i="35"/>
  <c r="C20" i="35"/>
  <c r="G18" i="35"/>
  <c r="G16" i="35"/>
  <c r="G15" i="35"/>
  <c r="G13" i="35"/>
  <c r="G12" i="35"/>
  <c r="G11" i="35"/>
  <c r="G10" i="35"/>
  <c r="F8" i="35"/>
  <c r="F20" i="35" s="1"/>
  <c r="D8" i="35"/>
  <c r="D20" i="35" s="1"/>
  <c r="C8" i="35"/>
  <c r="G7" i="35"/>
  <c r="E8" i="35"/>
  <c r="B18" i="33"/>
  <c r="G18" i="33"/>
  <c r="F20" i="33"/>
  <c r="E20" i="33"/>
  <c r="D20" i="33"/>
  <c r="C20" i="33"/>
  <c r="G17" i="33"/>
  <c r="G16" i="33"/>
  <c r="G15" i="33"/>
  <c r="G14" i="33"/>
  <c r="D23" i="32"/>
  <c r="C23" i="32"/>
  <c r="F23" i="32"/>
  <c r="F18" i="32"/>
  <c r="F19" i="32"/>
  <c r="F20" i="31"/>
  <c r="F18" i="31"/>
  <c r="G6" i="35" l="1"/>
  <c r="G8" i="35" s="1"/>
  <c r="G20" i="35" s="1"/>
  <c r="G20" i="33"/>
  <c r="F8" i="33" l="1"/>
  <c r="G7" i="33"/>
  <c r="E6" i="33" l="1"/>
  <c r="E8" i="33" s="1"/>
  <c r="B6" i="33"/>
  <c r="B9" i="32"/>
  <c r="E9" i="32"/>
  <c r="F9" i="32" s="1"/>
  <c r="E9" i="30"/>
  <c r="G13" i="33"/>
  <c r="G12" i="33"/>
  <c r="G11" i="33"/>
  <c r="G10" i="33"/>
  <c r="D8" i="33"/>
  <c r="C8" i="33"/>
  <c r="G6" i="33" l="1"/>
  <c r="G8" i="33"/>
  <c r="F21" i="32"/>
  <c r="F20" i="32"/>
  <c r="F17" i="32"/>
  <c r="F16" i="32"/>
  <c r="F15" i="32"/>
  <c r="F14" i="32"/>
  <c r="F13" i="32"/>
  <c r="E11" i="32"/>
  <c r="E23" i="32" s="1"/>
  <c r="D11" i="32"/>
  <c r="C11" i="32"/>
  <c r="F10" i="32"/>
  <c r="F8" i="32"/>
  <c r="F11" i="32" l="1"/>
  <c r="E9" i="31"/>
  <c r="B9" i="31"/>
  <c r="E20" i="31"/>
  <c r="D20" i="31"/>
  <c r="F17" i="31"/>
  <c r="F16" i="31"/>
  <c r="F15" i="31"/>
  <c r="F14" i="31"/>
  <c r="F13" i="31"/>
  <c r="D11" i="31"/>
  <c r="C11" i="31"/>
  <c r="C20" i="31" s="1"/>
  <c r="F10" i="31"/>
  <c r="F9" i="31"/>
  <c r="F8" i="31"/>
  <c r="F11" i="31" l="1"/>
  <c r="E11" i="31"/>
  <c r="D11" i="30"/>
  <c r="E11" i="30"/>
  <c r="F11" i="30"/>
  <c r="C11" i="30"/>
  <c r="F9" i="30"/>
  <c r="F10" i="30"/>
  <c r="E18" i="30"/>
  <c r="D18" i="30"/>
  <c r="F17" i="30"/>
  <c r="F16" i="30"/>
  <c r="F15" i="30"/>
  <c r="F14" i="30"/>
  <c r="F13" i="30"/>
  <c r="C18" i="30"/>
  <c r="G8" i="30"/>
  <c r="E8" i="30"/>
  <c r="F8" i="30" s="1"/>
  <c r="F18" i="30" l="1"/>
  <c r="E17" i="29"/>
  <c r="D17" i="29"/>
  <c r="F16" i="29"/>
  <c r="F15" i="29"/>
  <c r="F14" i="29"/>
  <c r="F13" i="29"/>
  <c r="F12" i="29"/>
  <c r="D10" i="29"/>
  <c r="C10" i="29"/>
  <c r="C17" i="29" s="1"/>
  <c r="G8" i="29"/>
  <c r="E8" i="29"/>
  <c r="F8" i="29" s="1"/>
  <c r="G7" i="29"/>
  <c r="E7" i="29"/>
  <c r="F7" i="29" s="1"/>
  <c r="G6" i="29"/>
  <c r="E6" i="29"/>
  <c r="E10" i="29" l="1"/>
  <c r="F6" i="29"/>
  <c r="F10" i="29" s="1"/>
  <c r="F17" i="29" s="1"/>
  <c r="G7" i="28"/>
  <c r="G8" i="28"/>
  <c r="G6" i="28"/>
  <c r="D19" i="28"/>
  <c r="F18" i="28"/>
  <c r="F17" i="28"/>
  <c r="F16" i="28"/>
  <c r="F15" i="28"/>
  <c r="F14" i="28"/>
  <c r="F13" i="28"/>
  <c r="F12" i="28"/>
  <c r="D10" i="28"/>
  <c r="C10" i="28"/>
  <c r="C19" i="28" s="1"/>
  <c r="E8" i="28"/>
  <c r="F8" i="28" s="1"/>
  <c r="E7" i="28"/>
  <c r="F7" i="28" s="1"/>
  <c r="E6" i="28"/>
  <c r="F6" i="28" s="1"/>
  <c r="E19" i="28" l="1"/>
  <c r="F10" i="28"/>
  <c r="F19" i="28" s="1"/>
  <c r="E10" i="28"/>
  <c r="F19" i="27"/>
  <c r="F10" i="27" l="1"/>
  <c r="E23" i="27"/>
  <c r="F21" i="27"/>
  <c r="D24" i="27"/>
  <c r="F22" i="27"/>
  <c r="F20" i="27"/>
  <c r="F18" i="27"/>
  <c r="F17" i="27"/>
  <c r="F16" i="27"/>
  <c r="D14" i="27"/>
  <c r="C14" i="27"/>
  <c r="C24" i="27" s="1"/>
  <c r="E12" i="27"/>
  <c r="F12" i="27" s="1"/>
  <c r="E11" i="27"/>
  <c r="F11" i="27" s="1"/>
  <c r="E10" i="27"/>
  <c r="E14" i="27" s="1"/>
  <c r="G9" i="27"/>
  <c r="F9" i="27"/>
  <c r="D22" i="26"/>
  <c r="D23" i="26" s="1"/>
  <c r="E23" i="26"/>
  <c r="F21" i="26"/>
  <c r="F20" i="26"/>
  <c r="F19" i="26"/>
  <c r="F18" i="26"/>
  <c r="F17" i="26"/>
  <c r="F16" i="26"/>
  <c r="D14" i="26"/>
  <c r="C14" i="26"/>
  <c r="C23" i="26" s="1"/>
  <c r="E12" i="26"/>
  <c r="F12" i="26" s="1"/>
  <c r="E11" i="26"/>
  <c r="F11" i="26" s="1"/>
  <c r="E10" i="26"/>
  <c r="E14" i="26" s="1"/>
  <c r="G9" i="26"/>
  <c r="F9" i="26"/>
  <c r="E24" i="27" l="1"/>
  <c r="F23" i="27"/>
  <c r="F14" i="27"/>
  <c r="F22" i="26"/>
  <c r="F10" i="26"/>
  <c r="F14" i="26" s="1"/>
  <c r="F23" i="26" s="1"/>
  <c r="E23" i="25"/>
  <c r="D23" i="25"/>
  <c r="F22" i="25"/>
  <c r="F21" i="25"/>
  <c r="F20" i="25"/>
  <c r="F19" i="25"/>
  <c r="F18" i="25"/>
  <c r="F17" i="25"/>
  <c r="F16" i="25"/>
  <c r="F23" i="25" s="1"/>
  <c r="D14" i="25"/>
  <c r="C14" i="25"/>
  <c r="C23" i="25" s="1"/>
  <c r="E12" i="25"/>
  <c r="F12" i="25" s="1"/>
  <c r="E11" i="25"/>
  <c r="F11" i="25" s="1"/>
  <c r="E10" i="25"/>
  <c r="F10" i="25" s="1"/>
  <c r="G9" i="25"/>
  <c r="F9" i="25"/>
  <c r="F24" i="27" l="1"/>
  <c r="F14" i="25"/>
  <c r="E14" i="25"/>
  <c r="C23" i="24"/>
  <c r="D23" i="24"/>
  <c r="F20" i="24"/>
  <c r="E23" i="24"/>
  <c r="F17" i="24"/>
  <c r="F18" i="24"/>
  <c r="F19" i="24"/>
  <c r="F21" i="24"/>
  <c r="F22" i="24"/>
  <c r="F16" i="24"/>
  <c r="D14" i="24"/>
  <c r="C14" i="24"/>
  <c r="E12" i="24"/>
  <c r="F12" i="24" s="1"/>
  <c r="E11" i="24"/>
  <c r="F11" i="24" s="1"/>
  <c r="E10" i="24"/>
  <c r="F10" i="24" s="1"/>
  <c r="G9" i="24"/>
  <c r="F9" i="24"/>
  <c r="E14" i="24" l="1"/>
  <c r="F14" i="24"/>
  <c r="F23" i="24" s="1"/>
  <c r="F21" i="23"/>
  <c r="F20" i="22"/>
  <c r="F19" i="21"/>
  <c r="F19" i="20"/>
  <c r="F19" i="19"/>
  <c r="E22" i="23" l="1"/>
  <c r="D14" i="23"/>
  <c r="C14" i="23"/>
  <c r="E12" i="23"/>
  <c r="F12" i="23" s="1"/>
  <c r="E11" i="23"/>
  <c r="F11" i="23" s="1"/>
  <c r="E10" i="23"/>
  <c r="E14" i="23" s="1"/>
  <c r="G9" i="23"/>
  <c r="F9" i="23"/>
  <c r="F10" i="23" l="1"/>
  <c r="F14" i="23" s="1"/>
  <c r="F22" i="23" s="1"/>
  <c r="E21" i="22"/>
  <c r="D14" i="22"/>
  <c r="C14" i="22"/>
  <c r="E12" i="22"/>
  <c r="F12" i="22" s="1"/>
  <c r="E11" i="22"/>
  <c r="F11" i="22" s="1"/>
  <c r="E10" i="22"/>
  <c r="F10" i="22" s="1"/>
  <c r="G9" i="22"/>
  <c r="F9" i="22"/>
  <c r="F14" i="22" l="1"/>
  <c r="F21" i="22" s="1"/>
  <c r="E14" i="22"/>
  <c r="F9" i="21"/>
  <c r="E10" i="21"/>
  <c r="F10" i="21"/>
  <c r="E11" i="21"/>
  <c r="E14" i="21" s="1"/>
  <c r="F11" i="21"/>
  <c r="E12" i="21"/>
  <c r="F12" i="21" s="1"/>
  <c r="E20" i="21"/>
  <c r="D14" i="21"/>
  <c r="C14" i="21"/>
  <c r="G9" i="21"/>
  <c r="F9" i="20"/>
  <c r="E10" i="20"/>
  <c r="F10" i="20"/>
  <c r="E11" i="20"/>
  <c r="F11" i="20" s="1"/>
  <c r="F14" i="20" s="1"/>
  <c r="F20" i="20" s="1"/>
  <c r="E12" i="20"/>
  <c r="E14" i="20" s="1"/>
  <c r="F12" i="20"/>
  <c r="E20" i="20"/>
  <c r="D14" i="20"/>
  <c r="C14" i="20"/>
  <c r="G9" i="20"/>
  <c r="E12" i="19"/>
  <c r="F12" i="19"/>
  <c r="F12" i="18"/>
  <c r="F9" i="19"/>
  <c r="E10" i="19"/>
  <c r="E14" i="19" s="1"/>
  <c r="F10" i="19"/>
  <c r="E11" i="19"/>
  <c r="F11" i="19" s="1"/>
  <c r="E20" i="19"/>
  <c r="D14" i="19"/>
  <c r="C14" i="19"/>
  <c r="G9" i="19"/>
  <c r="E10" i="18"/>
  <c r="F10" i="18" s="1"/>
  <c r="E11" i="18"/>
  <c r="F11" i="18"/>
  <c r="E9" i="17"/>
  <c r="E11" i="17"/>
  <c r="F11" i="17"/>
  <c r="E10" i="17"/>
  <c r="E13" i="17" s="1"/>
  <c r="F10" i="17"/>
  <c r="E9" i="18"/>
  <c r="F9" i="18" s="1"/>
  <c r="F14" i="18" s="1"/>
  <c r="F21" i="18" s="1"/>
  <c r="E21" i="18"/>
  <c r="D14" i="18"/>
  <c r="C14" i="18"/>
  <c r="G9" i="18"/>
  <c r="F9" i="17"/>
  <c r="F13" i="17" s="1"/>
  <c r="F20" i="17" s="1"/>
  <c r="E20" i="17"/>
  <c r="D13" i="17"/>
  <c r="C13" i="17"/>
  <c r="G9" i="17"/>
  <c r="E9" i="16"/>
  <c r="F9" i="16" s="1"/>
  <c r="E13" i="16"/>
  <c r="F13" i="16" s="1"/>
  <c r="F15" i="16"/>
  <c r="E24" i="16"/>
  <c r="D16" i="16"/>
  <c r="C16" i="16"/>
  <c r="G15" i="16"/>
  <c r="G13" i="16"/>
  <c r="E9" i="15"/>
  <c r="G9" i="15" s="1"/>
  <c r="F9" i="15"/>
  <c r="F16" i="15" s="1"/>
  <c r="F24" i="15" s="1"/>
  <c r="E13" i="15"/>
  <c r="F13" i="15" s="1"/>
  <c r="F15" i="15"/>
  <c r="E24" i="15"/>
  <c r="D16" i="15"/>
  <c r="C16" i="15"/>
  <c r="G15" i="15"/>
  <c r="E13" i="14"/>
  <c r="F13" i="14" s="1"/>
  <c r="F16" i="14" s="1"/>
  <c r="F24" i="14" s="1"/>
  <c r="E9" i="14"/>
  <c r="E16" i="14" s="1"/>
  <c r="F9" i="14"/>
  <c r="E24" i="14"/>
  <c r="D16" i="14"/>
  <c r="C16" i="14"/>
  <c r="G15" i="14"/>
  <c r="F15" i="14"/>
  <c r="G9" i="14"/>
  <c r="G13" i="14"/>
  <c r="C16" i="13"/>
  <c r="E24" i="13"/>
  <c r="D16" i="13"/>
  <c r="G15" i="13"/>
  <c r="F15" i="13"/>
  <c r="E9" i="13"/>
  <c r="E16" i="13" s="1"/>
  <c r="E13" i="13"/>
  <c r="G13" i="13" s="1"/>
  <c r="E24" i="12"/>
  <c r="G15" i="12"/>
  <c r="D16" i="12"/>
  <c r="F15" i="11"/>
  <c r="C15" i="12" s="1"/>
  <c r="F15" i="12" s="1"/>
  <c r="D16" i="11"/>
  <c r="D16" i="10"/>
  <c r="D13" i="9"/>
  <c r="D19" i="9"/>
  <c r="D19" i="8"/>
  <c r="D19" i="7"/>
  <c r="D19" i="6"/>
  <c r="D19" i="5"/>
  <c r="D19" i="4"/>
  <c r="D19" i="3"/>
  <c r="E17" i="2"/>
  <c r="F17" i="2" s="1"/>
  <c r="C17" i="3" s="1"/>
  <c r="D19" i="2"/>
  <c r="G17" i="2"/>
  <c r="B17" i="3" s="1"/>
  <c r="D15" i="1"/>
  <c r="C13" i="1"/>
  <c r="E13" i="1" s="1"/>
  <c r="F13" i="1" s="1"/>
  <c r="C13" i="2" s="1"/>
  <c r="B13" i="1"/>
  <c r="C9" i="1"/>
  <c r="E9" i="1" s="1"/>
  <c r="B9" i="1"/>
  <c r="G13" i="1" l="1"/>
  <c r="B13" i="2" s="1"/>
  <c r="E13" i="2" s="1"/>
  <c r="F13" i="2" s="1"/>
  <c r="C13" i="3" s="1"/>
  <c r="C15" i="1"/>
  <c r="G9" i="1"/>
  <c r="B9" i="2" s="1"/>
  <c r="F9" i="1"/>
  <c r="E15" i="1"/>
  <c r="E17" i="3"/>
  <c r="F17" i="3"/>
  <c r="C17" i="4" s="1"/>
  <c r="F14" i="21"/>
  <c r="F20" i="21" s="1"/>
  <c r="G17" i="3"/>
  <c r="B17" i="4" s="1"/>
  <c r="F16" i="16"/>
  <c r="F24" i="16" s="1"/>
  <c r="F14" i="19"/>
  <c r="F20" i="19" s="1"/>
  <c r="F9" i="13"/>
  <c r="F16" i="13" s="1"/>
  <c r="F24" i="13" s="1"/>
  <c r="F13" i="13"/>
  <c r="E16" i="15"/>
  <c r="G9" i="13"/>
  <c r="G9" i="16"/>
  <c r="E14" i="18"/>
  <c r="E16" i="16"/>
  <c r="G13" i="15"/>
  <c r="G13" i="2" l="1"/>
  <c r="B13" i="3" s="1"/>
  <c r="E13" i="3" s="1"/>
  <c r="G13" i="3" s="1"/>
  <c r="B13" i="4" s="1"/>
  <c r="E17" i="4"/>
  <c r="G17" i="4" s="1"/>
  <c r="B17" i="5" s="1"/>
  <c r="F17" i="4"/>
  <c r="C17" i="5" s="1"/>
  <c r="C9" i="2"/>
  <c r="F15" i="1"/>
  <c r="F19" i="1" s="1"/>
  <c r="C19" i="2" l="1"/>
  <c r="E9" i="2"/>
  <c r="F13" i="3"/>
  <c r="C13" i="4" s="1"/>
  <c r="E17" i="5"/>
  <c r="F17" i="5" s="1"/>
  <c r="C17" i="6" s="1"/>
  <c r="E19" i="2" l="1"/>
  <c r="G9" i="2"/>
  <c r="B9" i="3" s="1"/>
  <c r="G17" i="5"/>
  <c r="B17" i="6" s="1"/>
  <c r="E13" i="4"/>
  <c r="G13" i="4" s="1"/>
  <c r="B13" i="5" s="1"/>
  <c r="F9" i="2"/>
  <c r="C9" i="3" l="1"/>
  <c r="F19" i="2"/>
  <c r="F23" i="2" s="1"/>
  <c r="F13" i="4"/>
  <c r="C13" i="5" s="1"/>
  <c r="E17" i="6"/>
  <c r="F17" i="6" s="1"/>
  <c r="C17" i="7" s="1"/>
  <c r="E9" i="3" l="1"/>
  <c r="C19" i="3"/>
  <c r="E13" i="5"/>
  <c r="G13" i="5" s="1"/>
  <c r="B13" i="6" s="1"/>
  <c r="G17" i="6"/>
  <c r="B17" i="7" s="1"/>
  <c r="E19" i="3" l="1"/>
  <c r="G9" i="3"/>
  <c r="B9" i="4" s="1"/>
  <c r="F13" i="5"/>
  <c r="C13" i="6" s="1"/>
  <c r="F9" i="3"/>
  <c r="E17" i="7"/>
  <c r="F17" i="7" s="1"/>
  <c r="C17" i="8" s="1"/>
  <c r="E17" i="8" l="1"/>
  <c r="F17" i="8" s="1"/>
  <c r="C17" i="9" s="1"/>
  <c r="C9" i="4"/>
  <c r="F19" i="3"/>
  <c r="F23" i="3" s="1"/>
  <c r="G17" i="7"/>
  <c r="B17" i="8" s="1"/>
  <c r="E13" i="6"/>
  <c r="G13" i="6" s="1"/>
  <c r="B13" i="7" s="1"/>
  <c r="F13" i="6" l="1"/>
  <c r="C13" i="7" s="1"/>
  <c r="G17" i="8"/>
  <c r="B17" i="9" s="1"/>
  <c r="E9" i="4"/>
  <c r="F9" i="4" s="1"/>
  <c r="C19" i="4"/>
  <c r="F19" i="4" l="1"/>
  <c r="F23" i="4" s="1"/>
  <c r="C9" i="5"/>
  <c r="E13" i="7"/>
  <c r="G13" i="7" s="1"/>
  <c r="B13" i="8" s="1"/>
  <c r="G13" i="8" s="1"/>
  <c r="B13" i="9" s="1"/>
  <c r="E19" i="4"/>
  <c r="G9" i="4"/>
  <c r="B9" i="5" s="1"/>
  <c r="E17" i="9"/>
  <c r="F17" i="9" s="1"/>
  <c r="F13" i="7" l="1"/>
  <c r="C13" i="8" s="1"/>
  <c r="F13" i="8" s="1"/>
  <c r="C13" i="9" s="1"/>
  <c r="G17" i="9"/>
  <c r="E9" i="5"/>
  <c r="E19" i="5" s="1"/>
  <c r="C19" i="5"/>
  <c r="F9" i="5" l="1"/>
  <c r="G9" i="5"/>
  <c r="B9" i="6" s="1"/>
  <c r="E13" i="9"/>
  <c r="G13" i="9" s="1"/>
  <c r="B13" i="10" s="1"/>
  <c r="F13" i="9" l="1"/>
  <c r="C13" i="10" s="1"/>
  <c r="C9" i="6"/>
  <c r="F19" i="5"/>
  <c r="F23" i="5" s="1"/>
  <c r="C19" i="6" l="1"/>
  <c r="E9" i="6"/>
  <c r="F9" i="6" s="1"/>
  <c r="E13" i="10"/>
  <c r="G13" i="10" s="1"/>
  <c r="B13" i="11" s="1"/>
  <c r="F13" i="10" l="1"/>
  <c r="C13" i="11" s="1"/>
  <c r="E19" i="6"/>
  <c r="G9" i="6"/>
  <c r="C9" i="7"/>
  <c r="F19" i="6"/>
  <c r="F24" i="6" s="1"/>
  <c r="C19" i="7" l="1"/>
  <c r="E9" i="7"/>
  <c r="E13" i="11"/>
  <c r="G13" i="11" s="1"/>
  <c r="G9" i="7" l="1"/>
  <c r="B9" i="8" s="1"/>
  <c r="E19" i="7"/>
  <c r="F13" i="11"/>
  <c r="C13" i="12" s="1"/>
  <c r="F9" i="7"/>
  <c r="F19" i="7" l="1"/>
  <c r="F23" i="7" s="1"/>
  <c r="C9" i="8"/>
  <c r="E13" i="12"/>
  <c r="G13" i="12" s="1"/>
  <c r="F13" i="12" l="1"/>
  <c r="E9" i="8"/>
  <c r="F9" i="8" s="1"/>
  <c r="C19" i="8"/>
  <c r="F19" i="8" l="1"/>
  <c r="F23" i="8" s="1"/>
  <c r="C9" i="9"/>
  <c r="E19" i="8"/>
  <c r="G9" i="8"/>
  <c r="B9" i="9" s="1"/>
  <c r="E9" i="9" l="1"/>
  <c r="E19" i="9" s="1"/>
  <c r="C19" i="9"/>
  <c r="F9" i="9" l="1"/>
  <c r="F19" i="9"/>
  <c r="F24" i="9" s="1"/>
  <c r="C9" i="10"/>
  <c r="G9" i="9"/>
  <c r="B9" i="10" s="1"/>
  <c r="C16" i="10" l="1"/>
  <c r="E9" i="10"/>
  <c r="E16" i="10" s="1"/>
  <c r="G9" i="10" l="1"/>
  <c r="B9" i="11" s="1"/>
  <c r="F9" i="10"/>
  <c r="C9" i="11" l="1"/>
  <c r="F16" i="10"/>
  <c r="F22" i="10" s="1"/>
  <c r="E9" i="11" l="1"/>
  <c r="C16" i="11"/>
  <c r="E16" i="11" l="1"/>
  <c r="G9" i="11"/>
  <c r="F9" i="11"/>
  <c r="C9" i="12" l="1"/>
  <c r="F16" i="11"/>
  <c r="F24" i="11" s="1"/>
  <c r="E9" i="12" l="1"/>
  <c r="C16" i="12"/>
  <c r="G9" i="12" l="1"/>
  <c r="E16" i="12"/>
  <c r="F9" i="12"/>
  <c r="F16" i="12" s="1"/>
  <c r="F24" i="12" s="1"/>
</calcChain>
</file>

<file path=xl/sharedStrings.xml><?xml version="1.0" encoding="utf-8"?>
<sst xmlns="http://schemas.openxmlformats.org/spreadsheetml/2006/main" count="1110" uniqueCount="93">
  <si>
    <t>Skills Canada BC</t>
  </si>
  <si>
    <t>Prepaid Insurance</t>
  </si>
  <si>
    <t>Mths</t>
  </si>
  <si>
    <t>Opening</t>
  </si>
  <si>
    <t>Premium</t>
  </si>
  <si>
    <t>Expense</t>
  </si>
  <si>
    <t>Closing</t>
  </si>
  <si>
    <t>H.L. Staebler Company Limited</t>
  </si>
  <si>
    <t>ENCON Group Inc.</t>
  </si>
  <si>
    <t>2017-2018 Directors' &amp; Officers'  Policy Renewal</t>
  </si>
  <si>
    <t>May 25, 2017 to May 25, 2018</t>
  </si>
  <si>
    <t>Aviva Insurance Company of Canada</t>
  </si>
  <si>
    <t>2017-2018 Commercial General Liability Policy</t>
  </si>
  <si>
    <t>June 30, 2017 to June 30, 2018</t>
  </si>
  <si>
    <t>Westin Nova Scotian - Hotel deposit for Nationals 2019, May 23 to June 6</t>
  </si>
  <si>
    <t>Delta Edmonton - Hotel deposit for Nationals 2018, June 2 to 5</t>
  </si>
  <si>
    <t>Vancouver Board of Trade Jan 1 accrual</t>
  </si>
  <si>
    <t>Other Prepaids</t>
  </si>
  <si>
    <t>Prepaid Expenses</t>
  </si>
  <si>
    <t>Greater Vancouver Board of Trade</t>
  </si>
  <si>
    <t>January 1, 2018 to August 31, 2018</t>
  </si>
  <si>
    <t>2017-2018 Annual Membership - accrued balance</t>
  </si>
  <si>
    <t>febuary 1, 2018 to August 31, 2018</t>
  </si>
  <si>
    <t>Bam Bams 667 of 1000 held for 2019/2020</t>
  </si>
  <si>
    <t>2017-2018 Annual Membership</t>
  </si>
  <si>
    <t>May 25, 2018 to May 25, 2019</t>
  </si>
  <si>
    <t>2018-2019 Directors' &amp; Officers'  Policy Renewal</t>
  </si>
  <si>
    <t>Expired Jun 30 - National Office renegotiating contract</t>
  </si>
  <si>
    <t>June 30, 2018 to April 1, 2019</t>
  </si>
  <si>
    <t>Abundant Specialty Advertising - Bam Bams 667 of 1000 held for 2019/2020</t>
  </si>
  <si>
    <t>Sutton Place Hotel - Vancouver Nationals 2020 deposit</t>
  </si>
  <si>
    <t>Rene Ragetli - Consulting services related to 2019 Provincials</t>
  </si>
  <si>
    <t>Michell Skelly Cell phone expenses (Nov and Dec)</t>
  </si>
  <si>
    <t>Kim Steckler-Partial Cell phone cost fo November</t>
  </si>
  <si>
    <t xml:space="preserve">Anne Maria Rantanene-50% deposit for2019  Regional Coordinator </t>
  </si>
  <si>
    <t>Commerial general liability Apr 1-2019-Apr 1 2020, 366 days</t>
  </si>
  <si>
    <t>Abuse policy April 1 2019-April 1 2020, 366 days</t>
  </si>
  <si>
    <t>SMI Industrial Electric-deposit</t>
  </si>
  <si>
    <t>Sicence Word-deposit for 2019 Gala in Nov 2019</t>
  </si>
  <si>
    <t>Directors and officers Insurance June 2019-May 24 2020</t>
  </si>
  <si>
    <t xml:space="preserve">Abudnent </t>
  </si>
  <si>
    <t>Abundant Specialty Advertising - reional T-shirts and badges</t>
  </si>
  <si>
    <t>Hyatt Regency Vancouver-deposit for Regional Coordiabators meeting Nov 27 2019</t>
  </si>
  <si>
    <t>Airside Event Space -Deposit for extra space required for 2020 Provincial</t>
  </si>
  <si>
    <t>Peak Catering-Gala Nov 2019</t>
  </si>
  <si>
    <t>Hyatt Regency Vancouver-deposit for Regional Coordinators meeting Nov 27 2019</t>
  </si>
  <si>
    <t>Science Word-deposit for 2019 Gala in Nov 2019</t>
  </si>
  <si>
    <t>Wendy Gilmour-50% deposit per contract for 2020 Regional competitions</t>
  </si>
  <si>
    <t>Science World-20% deposit for Gala 2020</t>
  </si>
  <si>
    <t>Abundant Specialty- Regional 2020 T-shirts</t>
  </si>
  <si>
    <t>Drobbox renewal 2020</t>
  </si>
  <si>
    <t>Phoenix Tent</t>
  </si>
  <si>
    <t>Science World-20% deposit for Gala 2020-TRANSFERRED TO 2021 GALA (2020 cancelled)</t>
  </si>
  <si>
    <t>Phoenix Tent- TO KEEP FOR 2021 PROVINCIAL (2020 cancelled)</t>
  </si>
  <si>
    <t>Sutton Place Hotel - Vancouver Nationals 2020 deposit (to be refunded-National cancelled)</t>
  </si>
  <si>
    <t>Directors and officers Insurance May 25-Sep 30 2020</t>
  </si>
  <si>
    <t>Directors and officers Insurance Oct 1 2020-May 25 2021</t>
  </si>
  <si>
    <t>Mths/Days</t>
  </si>
  <si>
    <t>Airside Event Space -Deposit for extra space required -KEPT FOR 2021 ( 2020 Cancelled)</t>
  </si>
  <si>
    <t>Commercial general liability Apr 1-2019-Apr 1 2020, 366 days</t>
  </si>
  <si>
    <t>refunded to a cancelled credit card, in process of retrieving the funds</t>
  </si>
  <si>
    <t>Zoom subscription</t>
  </si>
  <si>
    <t>Zoom subscription Sep 1 2020-May 9 2021</t>
  </si>
  <si>
    <t>Zoom subscription Sep 1 2020-Jun 6 2021-Michelle</t>
  </si>
  <si>
    <t>Zoom subscription Sep 1 2020-May 9 2021-Elaine</t>
  </si>
  <si>
    <t>Goodaddy-Domani renewal Aug 2020-July 2021</t>
  </si>
  <si>
    <t>YE adj</t>
  </si>
  <si>
    <t>should be paid in Oct to be eligilbe for ESDC, Reversed at year end</t>
  </si>
  <si>
    <t>Teamwork Sep 1 2020-Jun 24 2021</t>
  </si>
  <si>
    <t>Zoom Subscription Sep 1 2020-June 15 2020-Jamie</t>
  </si>
  <si>
    <t>Note 1</t>
  </si>
  <si>
    <t>Note 1)</t>
  </si>
  <si>
    <t>days</t>
  </si>
  <si>
    <t>GoDaddy-Domain renewal Aug 2020-July 2021</t>
  </si>
  <si>
    <t>GoDaddy-Domain renewal Sep 1 2021-Oct 18 2025</t>
  </si>
  <si>
    <t>Abundant Specialty-Reginals</t>
  </si>
  <si>
    <t>refunded to a cancelled credit card, in process of retrieving the funds. Funds lost, despite several communications with the MC company.</t>
  </si>
  <si>
    <t>ICBA Benefit Serives, membership Sep-Dec 2021</t>
  </si>
  <si>
    <t>Microsoft revnewal Sep 2021-Aug 2022</t>
  </si>
  <si>
    <t>Microsoft revnewal Sep 2022-Aug 2023</t>
  </si>
  <si>
    <t>Microsoft revnewal Sep-Dec 2023</t>
  </si>
  <si>
    <t>Microsoft revnewal Sep 2022-Dec 2023</t>
  </si>
  <si>
    <t>Mertiott Pinnacle Vancouver-Deposit National 2022</t>
  </si>
  <si>
    <t>Directors and officers Insurance Sep 1 2021- April 1 2022</t>
  </si>
  <si>
    <t>Directors and officers Insurance Sep 1 2021- May 2022</t>
  </si>
  <si>
    <t>Zoom subscription Sep 1 2021-May 9 2022-Elaine</t>
  </si>
  <si>
    <t>Drop box, Sep 1 2021-July 4 2022</t>
  </si>
  <si>
    <t>Zoom subscription Sep 1 2021-May 9 2022-Michelle</t>
  </si>
  <si>
    <t>Zoom Subscription Sep 1 2021-June 14 2022-Jamie</t>
  </si>
  <si>
    <t>Refund</t>
  </si>
  <si>
    <t>Airside Event Space -Deposit for extra space required -KEPT FOR 2021 ( 2020 Cancelled)-will be refunded</t>
  </si>
  <si>
    <t>Science World-20% deposit for Gala 2020-TRANSFERRED TO 2023 GALA (2020 cancelled)</t>
  </si>
  <si>
    <t>Phoenix Tent- TO KEEP FOR 2023 PROVINCIAL (2020 cancelled)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</si>
</sst>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quotePrefix="1" applyNumberFormat="1" applyAlignment="1">
      <alignment horizontal="left"/>
    </xf>
    <xf numFmtId="165" fontId="0" fillId="0" borderId="0" xfId="0" quotePrefix="1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1" xfId="1" applyFont="1" applyBorder="1"/>
    <xf numFmtId="166" fontId="0" fillId="0" borderId="0" xfId="1" applyNumberFormat="1" applyFont="1"/>
    <xf numFmtId="164" fontId="0" fillId="0" borderId="2" xfId="1" applyFont="1" applyBorder="1"/>
    <xf numFmtId="165" fontId="2" fillId="0" borderId="0" xfId="0" quotePrefix="1" applyNumberFormat="1" applyFont="1" applyAlignment="1">
      <alignment horizontal="left"/>
    </xf>
    <xf numFmtId="15" fontId="0" fillId="0" borderId="0" xfId="0" applyNumberFormat="1"/>
    <xf numFmtId="43" fontId="0" fillId="0" borderId="0" xfId="0" applyNumberFormat="1"/>
    <xf numFmtId="0" fontId="0" fillId="2" borderId="0" xfId="0" applyFill="1"/>
    <xf numFmtId="0" fontId="0" fillId="0" borderId="0" xfId="0" applyFill="1"/>
    <xf numFmtId="164" fontId="0" fillId="2" borderId="0" xfId="1" applyFont="1" applyFill="1"/>
    <xf numFmtId="0" fontId="0" fillId="0" borderId="0" xfId="0" applyAlignment="1">
      <alignment horizontal="left"/>
    </xf>
    <xf numFmtId="164" fontId="0" fillId="0" borderId="0" xfId="1" applyFont="1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Alignment="1">
      <alignment horizontal="center"/>
    </xf>
    <xf numFmtId="164" fontId="0" fillId="0" borderId="3" xfId="1" applyFont="1" applyBorder="1"/>
    <xf numFmtId="164" fontId="2" fillId="0" borderId="2" xfId="1" applyFont="1" applyBorder="1"/>
    <xf numFmtId="164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Kim-SkillsCanada/Documents/2017/Financial%20Statements/Prepaid%20Insuranc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31"/>
      <sheetName val="Nov 30"/>
      <sheetName val="Oct 31"/>
      <sheetName val="To Sep 30"/>
    </sheetNames>
    <sheetDataSet>
      <sheetData sheetId="0"/>
      <sheetData sheetId="1">
        <row r="9">
          <cell r="F9">
            <v>482.91999999999985</v>
          </cell>
          <cell r="G9">
            <v>6</v>
          </cell>
        </row>
        <row r="13">
          <cell r="F13">
            <v>5430.9900000000016</v>
          </cell>
          <cell r="G13">
            <v>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ADE44-C236-4502-B194-59FB6C662294}">
  <dimension ref="A1:J30"/>
  <sheetViews>
    <sheetView tabSelected="1" topLeftCell="A7" zoomScale="208" zoomScaleNormal="208" workbookViewId="0">
      <selection activeCell="D13" sqref="D13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8.1640625" style="3" bestFit="1" customWidth="1"/>
    <col min="9" max="9" width="5.6640625" customWidth="1"/>
  </cols>
  <sheetData>
    <row r="1" spans="1:9" ht="19" x14ac:dyDescent="0.25">
      <c r="A1" s="1" t="s">
        <v>0</v>
      </c>
      <c r="B1" s="24" t="s">
        <v>72</v>
      </c>
      <c r="H1" s="2"/>
      <c r="I1" s="1"/>
    </row>
    <row r="2" spans="1:9" x14ac:dyDescent="0.2">
      <c r="A2" s="8" t="s">
        <v>18</v>
      </c>
    </row>
    <row r="3" spans="1:9" x14ac:dyDescent="0.2">
      <c r="A3" s="14">
        <v>44469</v>
      </c>
      <c r="B3" s="3">
        <v>30</v>
      </c>
      <c r="H3" s="5"/>
      <c r="I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89</v>
      </c>
      <c r="G4" s="6" t="s">
        <v>6</v>
      </c>
      <c r="H4" s="3" t="s">
        <v>2</v>
      </c>
    </row>
    <row r="5" spans="1:9" ht="15.75" customHeight="1" x14ac:dyDescent="0.2">
      <c r="A5" s="8" t="s">
        <v>1</v>
      </c>
      <c r="C5" s="7"/>
      <c r="D5" s="7"/>
      <c r="E5" s="7"/>
      <c r="F5" s="7"/>
      <c r="G5" s="7"/>
    </row>
    <row r="6" spans="1:9" x14ac:dyDescent="0.2">
      <c r="A6" t="s">
        <v>83</v>
      </c>
      <c r="B6" s="3">
        <f>213-30</f>
        <v>183</v>
      </c>
      <c r="C6" s="7">
        <v>3204.92</v>
      </c>
      <c r="D6" s="7"/>
      <c r="E6" s="7">
        <f>3204.92/213*B3</f>
        <v>451.39718309859154</v>
      </c>
      <c r="F6" s="7"/>
      <c r="G6" s="7">
        <f t="shared" ref="G6" si="0">+C6+D6-E6</f>
        <v>2753.5228169014085</v>
      </c>
    </row>
    <row r="7" spans="1:9" x14ac:dyDescent="0.2">
      <c r="A7" t="s">
        <v>84</v>
      </c>
      <c r="B7" s="3">
        <f>273-30</f>
        <v>243</v>
      </c>
      <c r="C7" s="7">
        <v>1511.57</v>
      </c>
      <c r="D7" s="7"/>
      <c r="E7" s="7">
        <f>1511.57/273*B3</f>
        <v>166.10659340659342</v>
      </c>
      <c r="F7" s="7"/>
      <c r="G7" s="7">
        <f>+C7+D7-E7-F7</f>
        <v>1345.4634065934065</v>
      </c>
    </row>
    <row r="8" spans="1:9" ht="16" thickBot="1" x14ac:dyDescent="0.25">
      <c r="C8" s="11">
        <f>SUM(C6:C7)</f>
        <v>4716.49</v>
      </c>
      <c r="D8" s="11">
        <f>SUM(D6:D7)</f>
        <v>0</v>
      </c>
      <c r="E8" s="11">
        <f>SUM(E6:E7)</f>
        <v>617.50377650518499</v>
      </c>
      <c r="F8" s="11">
        <f>SUM(F6:F7)</f>
        <v>0</v>
      </c>
      <c r="G8" s="11">
        <f>SUM(G6:G7)</f>
        <v>4098.986223494815</v>
      </c>
    </row>
    <row r="9" spans="1:9" x14ac:dyDescent="0.2">
      <c r="A9" s="8" t="s">
        <v>17</v>
      </c>
      <c r="C9" s="7"/>
      <c r="D9" s="7"/>
      <c r="E9" s="7"/>
      <c r="F9" s="7"/>
      <c r="G9" s="7"/>
    </row>
    <row r="10" spans="1:9" x14ac:dyDescent="0.2">
      <c r="A10" s="8" t="s">
        <v>82</v>
      </c>
      <c r="C10" s="7">
        <v>10000</v>
      </c>
      <c r="D10" s="7"/>
      <c r="E10" s="7"/>
      <c r="F10" s="7"/>
      <c r="G10" s="7">
        <f>C10+D10-E10</f>
        <v>10000</v>
      </c>
    </row>
    <row r="11" spans="1:9" s="3" customFormat="1" ht="32" x14ac:dyDescent="0.2">
      <c r="A11" s="23" t="s">
        <v>90</v>
      </c>
      <c r="C11" s="21">
        <v>1007.57</v>
      </c>
      <c r="D11" s="7"/>
      <c r="E11" s="7"/>
      <c r="F11" s="7"/>
      <c r="G11" s="7">
        <f>C11+D11-E11-F11</f>
        <v>1007.57</v>
      </c>
      <c r="I11"/>
    </row>
    <row r="12" spans="1:9" s="3" customFormat="1" ht="16" x14ac:dyDescent="0.2">
      <c r="A12" s="22" t="s">
        <v>92</v>
      </c>
      <c r="C12" s="21">
        <v>5817.19</v>
      </c>
      <c r="D12" s="7"/>
      <c r="E12" s="7"/>
      <c r="F12" s="7"/>
      <c r="G12" s="7">
        <f t="shared" ref="G12:G19" si="1">C12+D12-E12</f>
        <v>5817.19</v>
      </c>
      <c r="I12"/>
    </row>
    <row r="13" spans="1:9" s="3" customFormat="1" ht="32" x14ac:dyDescent="0.2">
      <c r="A13" s="22" t="s">
        <v>91</v>
      </c>
      <c r="C13" s="21">
        <v>1021.73</v>
      </c>
      <c r="D13" s="7"/>
      <c r="E13" s="7"/>
      <c r="F13" s="7"/>
      <c r="G13" s="7">
        <f t="shared" si="1"/>
        <v>1021.73</v>
      </c>
      <c r="I13"/>
    </row>
    <row r="14" spans="1:9" s="3" customFormat="1" ht="16" x14ac:dyDescent="0.2">
      <c r="A14" s="22" t="s">
        <v>75</v>
      </c>
      <c r="C14" s="7">
        <v>13850.12</v>
      </c>
      <c r="D14" s="7"/>
      <c r="E14" s="7"/>
      <c r="F14" s="7"/>
      <c r="G14" s="7">
        <f t="shared" si="1"/>
        <v>13850.12</v>
      </c>
      <c r="I14"/>
    </row>
    <row r="15" spans="1:9" s="3" customFormat="1" ht="16" x14ac:dyDescent="0.2">
      <c r="A15" s="22" t="s">
        <v>77</v>
      </c>
      <c r="B15" s="3">
        <f>122-30</f>
        <v>92</v>
      </c>
      <c r="C15" s="7">
        <v>153.75</v>
      </c>
      <c r="D15" s="7"/>
      <c r="E15" s="7">
        <f>153.75/122*B3</f>
        <v>37.807377049180332</v>
      </c>
      <c r="F15" s="7"/>
      <c r="G15" s="7">
        <f t="shared" si="1"/>
        <v>115.94262295081967</v>
      </c>
      <c r="H15" s="28">
        <f>E15</f>
        <v>37.807377049180332</v>
      </c>
      <c r="I15"/>
    </row>
    <row r="16" spans="1:9" s="3" customFormat="1" ht="16" x14ac:dyDescent="0.2">
      <c r="A16" s="22" t="s">
        <v>78</v>
      </c>
      <c r="B16" s="3">
        <f>365-30</f>
        <v>335</v>
      </c>
      <c r="C16" s="7">
        <v>251.88</v>
      </c>
      <c r="D16" s="7"/>
      <c r="E16" s="7">
        <f>251.88/365*B3</f>
        <v>20.702465753424654</v>
      </c>
      <c r="F16" s="7"/>
      <c r="G16" s="7">
        <f t="shared" si="1"/>
        <v>231.17753424657533</v>
      </c>
      <c r="I16"/>
    </row>
    <row r="17" spans="1:10" s="3" customFormat="1" ht="16" x14ac:dyDescent="0.2">
      <c r="A17" s="22" t="s">
        <v>79</v>
      </c>
      <c r="B17" s="3">
        <f>365-30</f>
        <v>335</v>
      </c>
      <c r="C17" s="7">
        <v>251.88</v>
      </c>
      <c r="D17" s="7"/>
      <c r="E17" s="7">
        <f>251.88/365*B3</f>
        <v>20.702465753424654</v>
      </c>
      <c r="F17" s="7"/>
      <c r="G17" s="7">
        <f t="shared" si="1"/>
        <v>231.17753424657533</v>
      </c>
      <c r="I17"/>
    </row>
    <row r="18" spans="1:10" s="3" customFormat="1" ht="16" x14ac:dyDescent="0.2">
      <c r="A18" s="22" t="s">
        <v>81</v>
      </c>
      <c r="B18" s="3">
        <f>122-30</f>
        <v>92</v>
      </c>
      <c r="C18" s="7">
        <v>83.96</v>
      </c>
      <c r="D18" s="7"/>
      <c r="E18" s="7">
        <f>83.96/122*B3</f>
        <v>20.64590163934426</v>
      </c>
      <c r="F18" s="7"/>
      <c r="G18" s="7">
        <f t="shared" si="1"/>
        <v>63.314098360655734</v>
      </c>
      <c r="I18"/>
    </row>
    <row r="19" spans="1:10" s="3" customFormat="1" ht="16" x14ac:dyDescent="0.2">
      <c r="A19" s="22" t="s">
        <v>86</v>
      </c>
      <c r="B19" s="3">
        <f>307-30</f>
        <v>277</v>
      </c>
      <c r="C19" s="7">
        <f>124.19+0.01</f>
        <v>124.2</v>
      </c>
      <c r="D19" s="7"/>
      <c r="E19" s="7">
        <f>124.2/307*B3</f>
        <v>12.136807817589577</v>
      </c>
      <c r="F19" s="7"/>
      <c r="G19" s="7">
        <f t="shared" si="1"/>
        <v>112.06319218241043</v>
      </c>
      <c r="I19"/>
    </row>
    <row r="20" spans="1:10" s="3" customFormat="1" ht="16" x14ac:dyDescent="0.2">
      <c r="A20" s="22" t="s">
        <v>87</v>
      </c>
      <c r="B20" s="3">
        <f>251-30</f>
        <v>221</v>
      </c>
      <c r="C20" s="7">
        <v>140.02000000000001</v>
      </c>
      <c r="D20" s="7"/>
      <c r="E20" s="7">
        <f>140.02/251*B3</f>
        <v>16.73545816733068</v>
      </c>
      <c r="F20" s="27"/>
      <c r="G20" s="7">
        <f>C20+D20-E20</f>
        <v>123.28454183266933</v>
      </c>
      <c r="I20"/>
      <c r="J20" s="7"/>
    </row>
    <row r="21" spans="1:10" s="3" customFormat="1" ht="16" x14ac:dyDescent="0.2">
      <c r="A21" s="22" t="s">
        <v>88</v>
      </c>
      <c r="B21" s="3">
        <f>317-30</f>
        <v>287</v>
      </c>
      <c r="C21" s="7">
        <v>187.07</v>
      </c>
      <c r="D21" s="7"/>
      <c r="E21" s="7">
        <f>187.07/317*B3</f>
        <v>17.703785488958989</v>
      </c>
      <c r="F21" s="27"/>
      <c r="G21" s="7">
        <f>C21+D21-E21</f>
        <v>169.36621451104099</v>
      </c>
      <c r="I21"/>
      <c r="J21" s="7"/>
    </row>
    <row r="22" spans="1:10" s="3" customFormat="1" ht="16" x14ac:dyDescent="0.2">
      <c r="A22" s="22" t="s">
        <v>85</v>
      </c>
      <c r="B22" s="3">
        <f>251-30</f>
        <v>221</v>
      </c>
      <c r="C22" s="7">
        <v>154</v>
      </c>
      <c r="D22" s="7"/>
      <c r="E22" s="7">
        <f>154/251*B3</f>
        <v>18.406374501992033</v>
      </c>
      <c r="F22" s="27"/>
      <c r="G22" s="7">
        <f t="shared" ref="G22:G23" si="2">C22+D22-E22</f>
        <v>135.59362549800795</v>
      </c>
      <c r="I22"/>
      <c r="J22" s="7"/>
    </row>
    <row r="23" spans="1:10" s="3" customFormat="1" ht="16" x14ac:dyDescent="0.2">
      <c r="A23" s="22" t="s">
        <v>74</v>
      </c>
      <c r="B23" s="3">
        <f>1509-30</f>
        <v>1479</v>
      </c>
      <c r="C23" s="7">
        <v>495.34</v>
      </c>
      <c r="D23" s="7"/>
      <c r="E23" s="7">
        <f>495.34/1509*B3</f>
        <v>9.8477137176938374</v>
      </c>
      <c r="F23" s="27"/>
      <c r="G23" s="7">
        <f t="shared" si="2"/>
        <v>485.49228628230611</v>
      </c>
      <c r="H23" s="28">
        <f>SUM(E16:E23)</f>
        <v>136.88097283975867</v>
      </c>
      <c r="I23"/>
    </row>
    <row r="24" spans="1:10" s="3" customFormat="1" x14ac:dyDescent="0.2">
      <c r="A24"/>
      <c r="C24" s="25">
        <f>SUM(C10:C23)</f>
        <v>33538.71</v>
      </c>
      <c r="D24" s="25">
        <f>SUM(D10:D23)</f>
        <v>0</v>
      </c>
      <c r="E24" s="25">
        <f>SUM(E10:E23)</f>
        <v>174.68834988893903</v>
      </c>
      <c r="F24" s="25">
        <f>SUM(F10:F23)</f>
        <v>0</v>
      </c>
      <c r="G24" s="25">
        <f>SUM(G10:G23)</f>
        <v>33364.02165011107</v>
      </c>
      <c r="I24"/>
    </row>
    <row r="25" spans="1:10" s="3" customFormat="1" ht="16" thickBot="1" x14ac:dyDescent="0.25">
      <c r="C25" s="26">
        <f>C8+C24</f>
        <v>38255.199999999997</v>
      </c>
      <c r="D25" s="26">
        <f>D8+D24</f>
        <v>0</v>
      </c>
      <c r="E25" s="26">
        <f>E8+E24</f>
        <v>792.19212639412399</v>
      </c>
      <c r="F25" s="26">
        <f>F8+F24</f>
        <v>0</v>
      </c>
      <c r="G25" s="26">
        <f>G8+G24</f>
        <v>37463.007873605886</v>
      </c>
      <c r="I25"/>
    </row>
    <row r="26" spans="1:10" s="3" customFormat="1" ht="16" thickTop="1" x14ac:dyDescent="0.2">
      <c r="A26"/>
      <c r="C26" s="7"/>
      <c r="D26" s="7"/>
      <c r="E26" s="7"/>
      <c r="F26" s="7"/>
      <c r="G26" s="7"/>
      <c r="I26"/>
    </row>
    <row r="30" spans="1:10" s="3" customFormat="1" x14ac:dyDescent="0.2">
      <c r="A30"/>
      <c r="C30"/>
      <c r="D30"/>
      <c r="E30"/>
      <c r="F30"/>
      <c r="G30"/>
      <c r="I30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FA102-7C63-4889-BA1A-529B50101AFA}">
  <dimension ref="A1:J29"/>
  <sheetViews>
    <sheetView zoomScaleNormal="100" workbookViewId="0">
      <selection activeCell="G6" sqref="G6:G7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10" ht="19" x14ac:dyDescent="0.25">
      <c r="A1" s="1" t="s">
        <v>0</v>
      </c>
      <c r="B1" s="24" t="s">
        <v>72</v>
      </c>
      <c r="H1" s="2"/>
      <c r="I1" s="1"/>
    </row>
    <row r="2" spans="1:10" x14ac:dyDescent="0.2">
      <c r="A2" s="8" t="s">
        <v>18</v>
      </c>
    </row>
    <row r="3" spans="1:10" x14ac:dyDescent="0.2">
      <c r="A3" s="14">
        <v>44196</v>
      </c>
      <c r="B3" s="3">
        <v>31</v>
      </c>
      <c r="H3" s="5"/>
      <c r="I3" s="4"/>
    </row>
    <row r="4" spans="1:10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10" ht="15.75" customHeight="1" x14ac:dyDescent="0.2">
      <c r="A5" s="8" t="s">
        <v>1</v>
      </c>
      <c r="C5" s="7"/>
      <c r="D5" s="7"/>
      <c r="E5" s="7"/>
      <c r="F5" s="7"/>
      <c r="G5" s="7"/>
    </row>
    <row r="6" spans="1:10" x14ac:dyDescent="0.2">
      <c r="A6" t="s">
        <v>55</v>
      </c>
      <c r="B6" s="3">
        <f>122-30-31-31-30</f>
        <v>0</v>
      </c>
      <c r="C6" s="7">
        <v>3.41085271317354E-3</v>
      </c>
      <c r="D6" s="7"/>
      <c r="E6" s="7"/>
      <c r="F6" s="7"/>
      <c r="G6" s="7">
        <f t="shared" ref="G6" si="0">+C6+D6-E6</f>
        <v>3.41085271317354E-3</v>
      </c>
    </row>
    <row r="7" spans="1:10" x14ac:dyDescent="0.2">
      <c r="A7" t="s">
        <v>56</v>
      </c>
      <c r="B7" s="3">
        <f>236-31-30-31</f>
        <v>144</v>
      </c>
      <c r="C7" s="7">
        <v>448.08</v>
      </c>
      <c r="D7" s="7"/>
      <c r="E7" s="7">
        <f>C7/236*B3</f>
        <v>58.857966101694913</v>
      </c>
      <c r="F7" s="7"/>
      <c r="G7" s="7">
        <f>+C7+D7-E7-F7</f>
        <v>389.22203389830509</v>
      </c>
    </row>
    <row r="8" spans="1:10" ht="16" thickBot="1" x14ac:dyDescent="0.25">
      <c r="C8" s="11">
        <f>SUM(C6:C7)</f>
        <v>448.08341085271314</v>
      </c>
      <c r="D8" s="11">
        <f>SUM(D6:D7)</f>
        <v>0</v>
      </c>
      <c r="E8" s="11">
        <f>SUM(E6:E7)</f>
        <v>58.857966101694913</v>
      </c>
      <c r="F8" s="11">
        <f>SUM(F6:F7)</f>
        <v>0</v>
      </c>
      <c r="G8" s="11">
        <f>SUM(G6:G7)</f>
        <v>389.22544475101824</v>
      </c>
    </row>
    <row r="9" spans="1:10" x14ac:dyDescent="0.2">
      <c r="A9" s="8" t="s">
        <v>17</v>
      </c>
      <c r="C9" s="7"/>
      <c r="D9" s="7"/>
      <c r="E9" s="7"/>
      <c r="F9" s="7"/>
      <c r="G9" s="7"/>
    </row>
    <row r="10" spans="1:10" s="3" customFormat="1" ht="32" x14ac:dyDescent="0.2">
      <c r="A10" s="22" t="s">
        <v>54</v>
      </c>
      <c r="C10" s="7">
        <v>5000</v>
      </c>
      <c r="D10" s="7"/>
      <c r="E10" s="7"/>
      <c r="F10" s="7"/>
      <c r="G10" s="21">
        <f t="shared" ref="G10:G20" si="1">C10+D10-E10</f>
        <v>5000</v>
      </c>
      <c r="H10" s="3" t="s">
        <v>70</v>
      </c>
    </row>
    <row r="11" spans="1:10" s="3" customFormat="1" ht="32" x14ac:dyDescent="0.2">
      <c r="A11" s="23" t="s">
        <v>58</v>
      </c>
      <c r="C11" s="7">
        <v>1007.57</v>
      </c>
      <c r="D11" s="7"/>
      <c r="E11" s="7"/>
      <c r="F11" s="7"/>
      <c r="G11" s="7">
        <f t="shared" si="1"/>
        <v>1007.57</v>
      </c>
      <c r="I11"/>
    </row>
    <row r="12" spans="1:10" s="3" customFormat="1" ht="16" x14ac:dyDescent="0.2">
      <c r="A12" s="22" t="s">
        <v>53</v>
      </c>
      <c r="C12" s="7">
        <v>5817.19</v>
      </c>
      <c r="D12" s="7"/>
      <c r="E12" s="7"/>
      <c r="F12" s="7"/>
      <c r="G12" s="7">
        <f t="shared" si="1"/>
        <v>5817.19</v>
      </c>
      <c r="I12"/>
    </row>
    <row r="13" spans="1:10" s="3" customFormat="1" ht="32" x14ac:dyDescent="0.2">
      <c r="A13" s="22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10" s="3" customFormat="1" ht="16" x14ac:dyDescent="0.2">
      <c r="A14" s="22" t="s">
        <v>75</v>
      </c>
      <c r="C14" s="7"/>
      <c r="D14" s="7">
        <v>13850.12</v>
      </c>
      <c r="E14" s="7"/>
      <c r="F14" s="7"/>
      <c r="G14" s="7">
        <f t="shared" si="1"/>
        <v>13850.12</v>
      </c>
      <c r="I14"/>
    </row>
    <row r="15" spans="1:10" s="3" customFormat="1" ht="16" x14ac:dyDescent="0.2">
      <c r="A15" s="22" t="s">
        <v>64</v>
      </c>
      <c r="B15" s="3">
        <f>251-30-31-30-31</f>
        <v>129</v>
      </c>
      <c r="C15" s="7">
        <v>91.95</v>
      </c>
      <c r="D15" s="7"/>
      <c r="E15" s="7">
        <f>145.16/251*B3</f>
        <v>17.928127490039842</v>
      </c>
      <c r="G15" s="7">
        <f t="shared" si="1"/>
        <v>74.021872509960161</v>
      </c>
      <c r="I15"/>
      <c r="J15" s="7"/>
    </row>
    <row r="16" spans="1:10" s="3" customFormat="1" ht="16" x14ac:dyDescent="0.2">
      <c r="A16" s="22" t="s">
        <v>69</v>
      </c>
      <c r="B16" s="3">
        <f>317-30-31-30-31</f>
        <v>195</v>
      </c>
      <c r="C16" s="7">
        <v>141.96</v>
      </c>
      <c r="D16" s="7"/>
      <c r="E16" s="7">
        <f>200/317*B3</f>
        <v>19.558359621451103</v>
      </c>
      <c r="G16" s="7">
        <f t="shared" si="1"/>
        <v>122.4016403785489</v>
      </c>
      <c r="I16"/>
      <c r="J16" s="7"/>
    </row>
    <row r="17" spans="1:10" s="3" customFormat="1" ht="16" x14ac:dyDescent="0.2">
      <c r="A17" s="22" t="s">
        <v>68</v>
      </c>
      <c r="B17" s="3">
        <f>297-30-31-30-31</f>
        <v>175</v>
      </c>
      <c r="C17" s="7">
        <v>643.03</v>
      </c>
      <c r="D17" s="7"/>
      <c r="E17" s="7">
        <f>931.61/297*B3</f>
        <v>97.238754208754216</v>
      </c>
      <c r="G17" s="7">
        <f t="shared" si="1"/>
        <v>545.79124579124573</v>
      </c>
      <c r="I17"/>
      <c r="J17" s="7"/>
    </row>
    <row r="18" spans="1:10" s="3" customFormat="1" ht="16" x14ac:dyDescent="0.2">
      <c r="A18" s="22" t="s">
        <v>63</v>
      </c>
      <c r="B18" s="3">
        <f>309-30-31-30-31</f>
        <v>187</v>
      </c>
      <c r="C18" s="7">
        <v>97.5</v>
      </c>
      <c r="D18" s="7"/>
      <c r="E18" s="7">
        <f>138.84/309*B3</f>
        <v>13.928932038834953</v>
      </c>
      <c r="G18" s="7">
        <f t="shared" si="1"/>
        <v>83.571067961165042</v>
      </c>
      <c r="I18"/>
      <c r="J18" s="7"/>
    </row>
    <row r="19" spans="1:10" s="3" customFormat="1" ht="16" x14ac:dyDescent="0.2">
      <c r="A19" s="22" t="s">
        <v>73</v>
      </c>
      <c r="B19" s="3">
        <f>365-31-30-31-30-31</f>
        <v>212</v>
      </c>
      <c r="C19" s="7">
        <v>227.87</v>
      </c>
      <c r="D19" s="7"/>
      <c r="E19" s="7">
        <f>343.45/365*B3</f>
        <v>29.16972602739726</v>
      </c>
      <c r="G19" s="7">
        <f t="shared" si="1"/>
        <v>198.70027397260276</v>
      </c>
      <c r="I19"/>
    </row>
    <row r="20" spans="1:10" s="3" customFormat="1" ht="16" x14ac:dyDescent="0.2">
      <c r="A20" s="22" t="s">
        <v>74</v>
      </c>
      <c r="B20" s="3">
        <v>1509</v>
      </c>
      <c r="C20" s="7">
        <v>495.34</v>
      </c>
      <c r="D20" s="7"/>
      <c r="E20" s="7"/>
      <c r="G20" s="7">
        <f t="shared" si="1"/>
        <v>495.34</v>
      </c>
      <c r="I20"/>
    </row>
    <row r="21" spans="1:10" s="3" customFormat="1" ht="16" thickBot="1" x14ac:dyDescent="0.25">
      <c r="A21"/>
      <c r="C21" s="13">
        <f>SUM(C8:C20)</f>
        <v>14992.223410852714</v>
      </c>
      <c r="D21" s="13">
        <f>SUM(D8:D20)</f>
        <v>13850.12</v>
      </c>
      <c r="E21" s="13">
        <f>SUM(E8:E20)</f>
        <v>236.68186548817226</v>
      </c>
      <c r="F21" s="13">
        <f t="shared" ref="F21" si="2">SUM(F8:F20)</f>
        <v>0</v>
      </c>
      <c r="G21" s="13">
        <f>SUM(G8:G20)</f>
        <v>28605.661545364543</v>
      </c>
      <c r="I21"/>
    </row>
    <row r="22" spans="1:10" s="3" customFormat="1" ht="16" thickTop="1" x14ac:dyDescent="0.2">
      <c r="C22" s="7"/>
      <c r="D22" s="7"/>
      <c r="E22" s="7">
        <f>E21-E8</f>
        <v>177.82389938647736</v>
      </c>
      <c r="F22" s="7"/>
      <c r="G22" s="7"/>
      <c r="I22"/>
    </row>
    <row r="23" spans="1:10" s="3" customFormat="1" ht="16" x14ac:dyDescent="0.2">
      <c r="A23" s="22" t="s">
        <v>71</v>
      </c>
      <c r="C23" s="7"/>
      <c r="D23" s="7"/>
      <c r="F23" s="7"/>
      <c r="G23" s="7"/>
      <c r="I23"/>
    </row>
    <row r="24" spans="1:10" s="3" customFormat="1" x14ac:dyDescent="0.2">
      <c r="A24" s="20" t="s">
        <v>60</v>
      </c>
      <c r="C24" s="7"/>
      <c r="D24" s="7"/>
      <c r="E24" s="7"/>
      <c r="F24" s="7"/>
      <c r="G24" s="7"/>
      <c r="I24"/>
    </row>
    <row r="25" spans="1:10" s="3" customFormat="1" x14ac:dyDescent="0.2">
      <c r="A25"/>
      <c r="C25" s="7"/>
      <c r="D25" s="7"/>
      <c r="E25" s="7"/>
      <c r="F25" s="7"/>
      <c r="G25" s="7"/>
      <c r="I25"/>
    </row>
    <row r="29" spans="1:10" s="3" customFormat="1" x14ac:dyDescent="0.2">
      <c r="A29"/>
      <c r="C29"/>
      <c r="D29"/>
      <c r="E29"/>
      <c r="F29"/>
      <c r="G29"/>
      <c r="I29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2939-DCED-41E8-B5A5-02D616ABC1C6}">
  <dimension ref="A1:J28"/>
  <sheetViews>
    <sheetView zoomScaleNormal="100" workbookViewId="0">
      <selection activeCell="B7" sqref="B7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10" ht="19" x14ac:dyDescent="0.25">
      <c r="A1" s="1" t="s">
        <v>0</v>
      </c>
      <c r="B1" s="24" t="s">
        <v>72</v>
      </c>
      <c r="H1" s="2"/>
      <c r="I1" s="1"/>
    </row>
    <row r="2" spans="1:10" x14ac:dyDescent="0.2">
      <c r="A2" s="8" t="s">
        <v>18</v>
      </c>
    </row>
    <row r="3" spans="1:10" x14ac:dyDescent="0.2">
      <c r="A3" s="14">
        <v>44135</v>
      </c>
      <c r="B3" s="3">
        <v>31</v>
      </c>
      <c r="H3" s="5"/>
      <c r="I3" s="4"/>
    </row>
    <row r="4" spans="1:10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10" ht="15.75" customHeight="1" x14ac:dyDescent="0.2">
      <c r="A5" s="8" t="s">
        <v>1</v>
      </c>
      <c r="C5" s="7"/>
      <c r="D5" s="7"/>
      <c r="E5" s="7"/>
      <c r="F5" s="7"/>
      <c r="G5" s="7"/>
    </row>
    <row r="6" spans="1:10" x14ac:dyDescent="0.2">
      <c r="A6" t="s">
        <v>55</v>
      </c>
      <c r="B6" s="3">
        <f>122-30-31-31-30</f>
        <v>0</v>
      </c>
      <c r="C6" s="7">
        <v>3.41085271317354E-3</v>
      </c>
      <c r="D6" s="7"/>
      <c r="E6" s="7"/>
      <c r="F6" s="7"/>
      <c r="G6" s="7">
        <f t="shared" ref="G6" si="0">+C6+D6-E6</f>
        <v>3.41085271317354E-3</v>
      </c>
    </row>
    <row r="7" spans="1:10" x14ac:dyDescent="0.2">
      <c r="A7" t="s">
        <v>56</v>
      </c>
      <c r="B7" s="3">
        <f>236-31-30</f>
        <v>175</v>
      </c>
      <c r="C7" s="7">
        <v>515.84</v>
      </c>
      <c r="D7" s="7"/>
      <c r="E7" s="7">
        <f>C7/236*B3</f>
        <v>67.75864406779661</v>
      </c>
      <c r="F7" s="7"/>
      <c r="G7" s="7">
        <f>+C7+D7-E7-F7</f>
        <v>448.08135593220345</v>
      </c>
    </row>
    <row r="8" spans="1:10" ht="16" thickBot="1" x14ac:dyDescent="0.25">
      <c r="C8" s="11">
        <f>SUM(C6:C7)</f>
        <v>515.84341085271319</v>
      </c>
      <c r="D8" s="11">
        <f>SUM(D6:D7)</f>
        <v>0</v>
      </c>
      <c r="E8" s="11">
        <f>SUM(E6:E7)</f>
        <v>67.75864406779661</v>
      </c>
      <c r="F8" s="11">
        <f>SUM(F6:F7)</f>
        <v>0</v>
      </c>
      <c r="G8" s="11">
        <f>SUM(G6:G7)</f>
        <v>448.08476678491661</v>
      </c>
    </row>
    <row r="9" spans="1:10" x14ac:dyDescent="0.2">
      <c r="A9" s="8" t="s">
        <v>17</v>
      </c>
      <c r="C9" s="7"/>
      <c r="D9" s="7"/>
      <c r="E9" s="7"/>
      <c r="F9" s="7"/>
      <c r="G9" s="7"/>
    </row>
    <row r="10" spans="1:10" s="3" customFormat="1" ht="32" x14ac:dyDescent="0.2">
      <c r="A10" s="22" t="s">
        <v>54</v>
      </c>
      <c r="C10" s="7">
        <v>5000</v>
      </c>
      <c r="D10" s="7"/>
      <c r="E10" s="7"/>
      <c r="F10" s="7"/>
      <c r="G10" s="21">
        <f t="shared" ref="G10:G19" si="1">C10+D10-E10</f>
        <v>5000</v>
      </c>
      <c r="H10" s="3" t="s">
        <v>70</v>
      </c>
    </row>
    <row r="11" spans="1:10" s="3" customFormat="1" ht="32" x14ac:dyDescent="0.2">
      <c r="A11" s="23" t="s">
        <v>58</v>
      </c>
      <c r="C11" s="7">
        <v>1007.57</v>
      </c>
      <c r="D11" s="7"/>
      <c r="E11" s="7"/>
      <c r="F11" s="7"/>
      <c r="G11" s="7">
        <f t="shared" si="1"/>
        <v>1007.57</v>
      </c>
      <c r="I11"/>
    </row>
    <row r="12" spans="1:10" s="3" customFormat="1" ht="16" x14ac:dyDescent="0.2">
      <c r="A12" s="22" t="s">
        <v>53</v>
      </c>
      <c r="C12" s="7">
        <v>5817.19</v>
      </c>
      <c r="D12" s="7"/>
      <c r="E12" s="7"/>
      <c r="F12" s="7"/>
      <c r="G12" s="7">
        <f t="shared" si="1"/>
        <v>5817.19</v>
      </c>
      <c r="I12"/>
    </row>
    <row r="13" spans="1:10" s="3" customFormat="1" ht="32" x14ac:dyDescent="0.2">
      <c r="A13" s="22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10" s="3" customFormat="1" ht="16" x14ac:dyDescent="0.2">
      <c r="A14" s="22" t="s">
        <v>64</v>
      </c>
      <c r="B14" s="3">
        <f>251-30-31-30</f>
        <v>160</v>
      </c>
      <c r="C14" s="7">
        <v>109.88207171314741</v>
      </c>
      <c r="D14" s="7"/>
      <c r="E14" s="7">
        <f>145.16/251*B3</f>
        <v>17.928127490039842</v>
      </c>
      <c r="G14" s="7">
        <f t="shared" si="1"/>
        <v>91.95394422310757</v>
      </c>
      <c r="I14"/>
      <c r="J14" s="7"/>
    </row>
    <row r="15" spans="1:10" s="3" customFormat="1" ht="16" x14ac:dyDescent="0.2">
      <c r="A15" s="22" t="s">
        <v>69</v>
      </c>
      <c r="B15" s="3">
        <f>317-30-31-30</f>
        <v>226</v>
      </c>
      <c r="C15" s="7">
        <v>161.51419558359621</v>
      </c>
      <c r="D15" s="7"/>
      <c r="E15" s="7">
        <f>200/317*B3</f>
        <v>19.558359621451103</v>
      </c>
      <c r="G15" s="7">
        <f t="shared" si="1"/>
        <v>141.9558359621451</v>
      </c>
      <c r="I15"/>
      <c r="J15" s="7"/>
    </row>
    <row r="16" spans="1:10" s="3" customFormat="1" ht="16" x14ac:dyDescent="0.2">
      <c r="A16" s="22" t="s">
        <v>68</v>
      </c>
      <c r="B16" s="3">
        <f>297-30-31-30</f>
        <v>206</v>
      </c>
      <c r="C16" s="7">
        <v>740.26922558922558</v>
      </c>
      <c r="D16" s="7"/>
      <c r="E16" s="7">
        <f>931.61/297*B3</f>
        <v>97.238754208754216</v>
      </c>
      <c r="G16" s="7">
        <f t="shared" si="1"/>
        <v>643.03047138047134</v>
      </c>
      <c r="I16"/>
      <c r="J16" s="7"/>
    </row>
    <row r="17" spans="1:10" s="3" customFormat="1" ht="16" x14ac:dyDescent="0.2">
      <c r="A17" s="22" t="s">
        <v>63</v>
      </c>
      <c r="B17" s="3">
        <f>309-30-31-30</f>
        <v>218</v>
      </c>
      <c r="C17" s="7">
        <v>111.43145631067961</v>
      </c>
      <c r="D17" s="7"/>
      <c r="E17" s="7">
        <f>138.84/309*B3</f>
        <v>13.928932038834953</v>
      </c>
      <c r="G17" s="7">
        <f t="shared" si="1"/>
        <v>97.502524271844649</v>
      </c>
      <c r="I17"/>
      <c r="J17" s="7"/>
    </row>
    <row r="18" spans="1:10" s="3" customFormat="1" ht="16" x14ac:dyDescent="0.2">
      <c r="A18" s="22" t="s">
        <v>73</v>
      </c>
      <c r="B18" s="3">
        <f>365-31-30-31-30</f>
        <v>243</v>
      </c>
      <c r="C18" s="7">
        <v>257.04027397260273</v>
      </c>
      <c r="D18" s="7"/>
      <c r="E18" s="7">
        <f>343.45/365*B3</f>
        <v>29.16972602739726</v>
      </c>
      <c r="G18" s="7">
        <f t="shared" si="1"/>
        <v>227.87054794520549</v>
      </c>
      <c r="I18"/>
    </row>
    <row r="19" spans="1:10" s="3" customFormat="1" ht="16" x14ac:dyDescent="0.2">
      <c r="A19" s="22" t="s">
        <v>74</v>
      </c>
      <c r="B19" s="3">
        <v>1509</v>
      </c>
      <c r="C19" s="7">
        <v>495.34</v>
      </c>
      <c r="D19" s="7"/>
      <c r="E19" s="7"/>
      <c r="G19" s="7">
        <f t="shared" si="1"/>
        <v>495.34</v>
      </c>
      <c r="I19"/>
    </row>
    <row r="20" spans="1:10" s="3" customFormat="1" ht="16" thickBot="1" x14ac:dyDescent="0.25">
      <c r="A20"/>
      <c r="C20" s="13">
        <f>SUM(C8:C19)</f>
        <v>15237.810634021966</v>
      </c>
      <c r="D20" s="13">
        <f>SUM(D8:D19)</f>
        <v>0</v>
      </c>
      <c r="E20" s="13">
        <f>SUM(E8:E19)</f>
        <v>245.58254345427395</v>
      </c>
      <c r="F20" s="13">
        <f t="shared" ref="F20" si="2">SUM(F8:F19)</f>
        <v>0</v>
      </c>
      <c r="G20" s="13">
        <f>SUM(G8:G19)</f>
        <v>14992.228090567689</v>
      </c>
      <c r="I20"/>
    </row>
    <row r="21" spans="1:10" s="3" customFormat="1" ht="17" thickTop="1" x14ac:dyDescent="0.2">
      <c r="A21" s="22" t="s">
        <v>71</v>
      </c>
      <c r="C21" s="7"/>
      <c r="D21" s="7"/>
      <c r="E21" s="7"/>
      <c r="F21" s="7"/>
      <c r="G21" s="7"/>
      <c r="I21"/>
    </row>
    <row r="22" spans="1:10" s="3" customFormat="1" x14ac:dyDescent="0.2">
      <c r="A22" s="20" t="s">
        <v>60</v>
      </c>
      <c r="C22" s="7"/>
      <c r="D22" s="7"/>
      <c r="E22" s="7">
        <f>E20-E8</f>
        <v>177.82389938647734</v>
      </c>
      <c r="F22" s="7"/>
      <c r="G22" s="7"/>
      <c r="I22"/>
    </row>
    <row r="23" spans="1:10" s="3" customFormat="1" x14ac:dyDescent="0.2">
      <c r="A23"/>
      <c r="C23" s="7"/>
      <c r="D23" s="7"/>
      <c r="E23" s="7"/>
      <c r="F23" s="7"/>
      <c r="G23" s="7"/>
      <c r="I23"/>
    </row>
    <row r="24" spans="1:10" s="3" customFormat="1" x14ac:dyDescent="0.2">
      <c r="A24"/>
      <c r="C24" s="7"/>
      <c r="D24" s="7"/>
      <c r="E24" s="7"/>
      <c r="F24" s="7"/>
      <c r="G24" s="7"/>
      <c r="I24"/>
    </row>
    <row r="28" spans="1:10" s="3" customFormat="1" x14ac:dyDescent="0.2">
      <c r="A28"/>
      <c r="C28"/>
      <c r="D28"/>
      <c r="E28"/>
      <c r="F28"/>
      <c r="G28"/>
      <c r="I28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5ADEA-774B-4BFA-A05E-A6AB71B32A70}">
  <dimension ref="A1:J28"/>
  <sheetViews>
    <sheetView zoomScaleNormal="100" workbookViewId="0">
      <selection activeCell="C7" sqref="C7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10" ht="19" x14ac:dyDescent="0.25">
      <c r="A1" s="1" t="s">
        <v>0</v>
      </c>
      <c r="B1" s="24" t="s">
        <v>72</v>
      </c>
      <c r="H1" s="2"/>
      <c r="I1" s="1"/>
    </row>
    <row r="2" spans="1:10" x14ac:dyDescent="0.2">
      <c r="A2" s="8" t="s">
        <v>18</v>
      </c>
    </row>
    <row r="3" spans="1:10" x14ac:dyDescent="0.2">
      <c r="A3" s="14">
        <v>44135</v>
      </c>
      <c r="B3" s="3">
        <v>31</v>
      </c>
      <c r="H3" s="5"/>
      <c r="I3" s="4"/>
    </row>
    <row r="4" spans="1:10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10" ht="15.75" customHeight="1" x14ac:dyDescent="0.2">
      <c r="A5" s="8" t="s">
        <v>1</v>
      </c>
      <c r="C5" s="7"/>
      <c r="D5" s="7"/>
      <c r="E5" s="7"/>
      <c r="F5" s="7"/>
      <c r="G5" s="7"/>
    </row>
    <row r="6" spans="1:10" x14ac:dyDescent="0.2">
      <c r="A6" t="s">
        <v>55</v>
      </c>
      <c r="B6" s="3">
        <f>122-30-31-31-30</f>
        <v>0</v>
      </c>
      <c r="C6" s="7">
        <v>3.41085271317354E-3</v>
      </c>
      <c r="D6" s="7"/>
      <c r="E6" s="7"/>
      <c r="F6" s="7"/>
      <c r="G6" s="7">
        <f t="shared" ref="G6" si="0">+C6+D6-E6</f>
        <v>3.41085271317354E-3</v>
      </c>
    </row>
    <row r="7" spans="1:10" x14ac:dyDescent="0.2">
      <c r="A7" t="s">
        <v>56</v>
      </c>
      <c r="B7" s="3">
        <f>236-31</f>
        <v>205</v>
      </c>
      <c r="C7" s="7">
        <v>593.85</v>
      </c>
      <c r="D7" s="7"/>
      <c r="E7" s="7">
        <f>C7/236*B3</f>
        <v>78.005720338983053</v>
      </c>
      <c r="F7" s="7"/>
      <c r="G7" s="7">
        <f>+C7+D7-E7-F7</f>
        <v>515.84427966101703</v>
      </c>
    </row>
    <row r="8" spans="1:10" ht="16" thickBot="1" x14ac:dyDescent="0.25">
      <c r="C8" s="11">
        <f>SUM(C6:C7)</f>
        <v>593.85341085271318</v>
      </c>
      <c r="D8" s="11">
        <f>SUM(D6:D7)</f>
        <v>0</v>
      </c>
      <c r="E8" s="11">
        <f>SUM(E6:E7)</f>
        <v>78.005720338983053</v>
      </c>
      <c r="F8" s="11">
        <f>SUM(F6:F7)</f>
        <v>0</v>
      </c>
      <c r="G8" s="11">
        <f>SUM(G6:G7)</f>
        <v>515.84769051373019</v>
      </c>
    </row>
    <row r="9" spans="1:10" x14ac:dyDescent="0.2">
      <c r="A9" s="8" t="s">
        <v>17</v>
      </c>
      <c r="C9" s="7"/>
      <c r="D9" s="7"/>
      <c r="E9" s="7"/>
      <c r="F9" s="7"/>
      <c r="G9" s="7"/>
    </row>
    <row r="10" spans="1:10" s="3" customFormat="1" ht="32" x14ac:dyDescent="0.2">
      <c r="A10" s="22" t="s">
        <v>54</v>
      </c>
      <c r="C10" s="7">
        <v>5000</v>
      </c>
      <c r="D10" s="7"/>
      <c r="E10" s="7"/>
      <c r="F10" s="7"/>
      <c r="G10" s="21">
        <f t="shared" ref="G10:G19" si="1">C10+D10-E10</f>
        <v>5000</v>
      </c>
      <c r="H10" s="3" t="s">
        <v>70</v>
      </c>
    </row>
    <row r="11" spans="1:10" s="3" customFormat="1" ht="32" x14ac:dyDescent="0.2">
      <c r="A11" s="22" t="s">
        <v>58</v>
      </c>
      <c r="C11" s="7">
        <v>1007.57</v>
      </c>
      <c r="D11" s="7"/>
      <c r="E11" s="7"/>
      <c r="F11" s="7"/>
      <c r="G11" s="7">
        <f t="shared" si="1"/>
        <v>1007.57</v>
      </c>
      <c r="I11"/>
    </row>
    <row r="12" spans="1:10" s="3" customFormat="1" ht="16" x14ac:dyDescent="0.2">
      <c r="A12" s="22" t="s">
        <v>53</v>
      </c>
      <c r="C12" s="7">
        <v>5817.19</v>
      </c>
      <c r="D12" s="7"/>
      <c r="E12" s="7"/>
      <c r="F12" s="7"/>
      <c r="G12" s="7">
        <f t="shared" si="1"/>
        <v>5817.19</v>
      </c>
      <c r="I12"/>
    </row>
    <row r="13" spans="1:10" s="3" customFormat="1" ht="32" x14ac:dyDescent="0.2">
      <c r="A13" s="22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10" s="3" customFormat="1" ht="16" x14ac:dyDescent="0.2">
      <c r="A14" s="22" t="s">
        <v>64</v>
      </c>
      <c r="B14" s="3">
        <f>251-30-31</f>
        <v>190</v>
      </c>
      <c r="C14" s="7">
        <v>127.81019920318725</v>
      </c>
      <c r="D14" s="7"/>
      <c r="E14" s="7">
        <f>145.16/251*B3</f>
        <v>17.928127490039842</v>
      </c>
      <c r="G14" s="7">
        <f t="shared" si="1"/>
        <v>109.88207171314741</v>
      </c>
      <c r="I14"/>
      <c r="J14" s="7"/>
    </row>
    <row r="15" spans="1:10" s="3" customFormat="1" ht="16" x14ac:dyDescent="0.2">
      <c r="A15" s="22" t="s">
        <v>69</v>
      </c>
      <c r="B15" s="3">
        <f>317-30-31</f>
        <v>256</v>
      </c>
      <c r="C15" s="7">
        <v>181.07255520504731</v>
      </c>
      <c r="D15" s="7"/>
      <c r="E15" s="7">
        <f>200/317*B3</f>
        <v>19.558359621451103</v>
      </c>
      <c r="G15" s="7">
        <f t="shared" si="1"/>
        <v>161.51419558359621</v>
      </c>
      <c r="I15"/>
      <c r="J15" s="7"/>
    </row>
    <row r="16" spans="1:10" s="3" customFormat="1" ht="16" x14ac:dyDescent="0.2">
      <c r="A16" s="22" t="s">
        <v>68</v>
      </c>
      <c r="B16" s="3">
        <f>297-30-31</f>
        <v>236</v>
      </c>
      <c r="C16" s="7">
        <v>837.50797979797983</v>
      </c>
      <c r="D16" s="7"/>
      <c r="E16" s="7">
        <f>931.61/297*B3</f>
        <v>97.238754208754216</v>
      </c>
      <c r="G16" s="7">
        <f t="shared" si="1"/>
        <v>740.26922558922558</v>
      </c>
      <c r="I16"/>
      <c r="J16" s="7"/>
    </row>
    <row r="17" spans="1:10" s="3" customFormat="1" ht="16" x14ac:dyDescent="0.2">
      <c r="A17" s="22" t="s">
        <v>63</v>
      </c>
      <c r="B17" s="3">
        <f>309-30-31</f>
        <v>248</v>
      </c>
      <c r="C17" s="7">
        <v>125.36038834951457</v>
      </c>
      <c r="D17" s="7"/>
      <c r="E17" s="7">
        <f>138.84/309*B3</f>
        <v>13.928932038834953</v>
      </c>
      <c r="G17" s="7">
        <f t="shared" si="1"/>
        <v>111.43145631067961</v>
      </c>
      <c r="I17"/>
      <c r="J17" s="7"/>
    </row>
    <row r="18" spans="1:10" s="3" customFormat="1" ht="16" x14ac:dyDescent="0.2">
      <c r="A18" s="22" t="s">
        <v>73</v>
      </c>
      <c r="B18" s="3">
        <f>365-31-30-31</f>
        <v>273</v>
      </c>
      <c r="C18" s="7">
        <v>286.20999999999998</v>
      </c>
      <c r="D18" s="7"/>
      <c r="E18" s="7">
        <f>343.45/365*B3</f>
        <v>29.16972602739726</v>
      </c>
      <c r="G18" s="7">
        <f t="shared" si="1"/>
        <v>257.04027397260273</v>
      </c>
      <c r="I18"/>
    </row>
    <row r="19" spans="1:10" s="3" customFormat="1" ht="16" x14ac:dyDescent="0.2">
      <c r="A19" s="22" t="s">
        <v>74</v>
      </c>
      <c r="B19" s="3">
        <v>1509</v>
      </c>
      <c r="C19" s="7"/>
      <c r="D19" s="7">
        <v>495.34</v>
      </c>
      <c r="E19" s="7"/>
      <c r="G19" s="7">
        <f t="shared" si="1"/>
        <v>495.34</v>
      </c>
      <c r="I19"/>
    </row>
    <row r="20" spans="1:10" s="3" customFormat="1" ht="16" thickBot="1" x14ac:dyDescent="0.25">
      <c r="A20"/>
      <c r="C20" s="13">
        <f>SUM(C8:C19)</f>
        <v>14998.30453340844</v>
      </c>
      <c r="D20" s="13">
        <f>SUM(D8:D19)</f>
        <v>495.34</v>
      </c>
      <c r="E20" s="13">
        <f>SUM(E8:E19)</f>
        <v>255.82961972546042</v>
      </c>
      <c r="F20" s="13">
        <f t="shared" ref="F20" si="2">SUM(F8:F19)</f>
        <v>0</v>
      </c>
      <c r="G20" s="13">
        <f>SUM(G8:G19)</f>
        <v>15237.814913682983</v>
      </c>
      <c r="I20"/>
    </row>
    <row r="21" spans="1:10" s="3" customFormat="1" ht="17" thickTop="1" x14ac:dyDescent="0.2">
      <c r="A21" s="22" t="s">
        <v>71</v>
      </c>
      <c r="C21" s="7"/>
      <c r="D21" s="7"/>
      <c r="E21" s="7"/>
      <c r="F21" s="7"/>
      <c r="G21" s="7"/>
      <c r="I21"/>
    </row>
    <row r="22" spans="1:10" s="3" customFormat="1" x14ac:dyDescent="0.2">
      <c r="A22" s="20" t="s">
        <v>60</v>
      </c>
      <c r="C22" s="7"/>
      <c r="D22" s="7"/>
      <c r="E22" s="7"/>
      <c r="F22" s="7"/>
      <c r="G22" s="7"/>
      <c r="I22"/>
    </row>
    <row r="23" spans="1:10" s="3" customFormat="1" x14ac:dyDescent="0.2">
      <c r="A23"/>
      <c r="C23" s="7"/>
      <c r="D23" s="7"/>
      <c r="E23" s="7">
        <f>E20-E8</f>
        <v>177.82389938647736</v>
      </c>
      <c r="F23" s="7"/>
      <c r="G23" s="7"/>
      <c r="I23"/>
    </row>
    <row r="24" spans="1:10" s="3" customFormat="1" x14ac:dyDescent="0.2">
      <c r="A24"/>
      <c r="C24" s="7"/>
      <c r="D24" s="7"/>
      <c r="E24" s="7"/>
      <c r="F24" s="7"/>
      <c r="G24" s="7"/>
      <c r="I24"/>
    </row>
    <row r="28" spans="1:10" s="3" customFormat="1" x14ac:dyDescent="0.2">
      <c r="A28"/>
      <c r="C28"/>
      <c r="D28"/>
      <c r="E28"/>
      <c r="F28"/>
      <c r="G28"/>
      <c r="I28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5A59-E8A7-444D-A866-EF379B3B90F7}">
  <dimension ref="A1:J28"/>
  <sheetViews>
    <sheetView zoomScaleNormal="100" workbookViewId="0">
      <selection activeCell="D7" sqref="D7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10" ht="19" x14ac:dyDescent="0.25">
      <c r="A1" s="1" t="s">
        <v>0</v>
      </c>
      <c r="B1" s="2"/>
      <c r="H1" s="2"/>
      <c r="I1" s="1"/>
    </row>
    <row r="2" spans="1:10" x14ac:dyDescent="0.2">
      <c r="A2" s="8" t="s">
        <v>18</v>
      </c>
    </row>
    <row r="3" spans="1:10" x14ac:dyDescent="0.2">
      <c r="A3" s="14">
        <v>44104</v>
      </c>
      <c r="B3" s="5"/>
      <c r="H3" s="5"/>
      <c r="I3" s="4"/>
    </row>
    <row r="4" spans="1:10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10" ht="15.75" customHeight="1" x14ac:dyDescent="0.2">
      <c r="A5" s="8" t="s">
        <v>1</v>
      </c>
      <c r="C5" s="7"/>
      <c r="D5" s="7"/>
      <c r="E5" s="7"/>
      <c r="F5" s="7"/>
      <c r="G5" s="7"/>
    </row>
    <row r="6" spans="1:10" x14ac:dyDescent="0.2">
      <c r="A6" t="s">
        <v>55</v>
      </c>
      <c r="B6" s="3">
        <f>122-30-31-31-30</f>
        <v>0</v>
      </c>
      <c r="C6" s="7">
        <v>75.493410852713168</v>
      </c>
      <c r="D6" s="7"/>
      <c r="E6" s="7">
        <v>75.489999999999995</v>
      </c>
      <c r="F6" s="7"/>
      <c r="G6" s="7">
        <f t="shared" ref="G6" si="0">+C6+D6-E6</f>
        <v>3.41085271317354E-3</v>
      </c>
    </row>
    <row r="7" spans="1:10" x14ac:dyDescent="0.2">
      <c r="A7" t="s">
        <v>56</v>
      </c>
      <c r="B7" s="3">
        <v>236</v>
      </c>
      <c r="C7" s="7">
        <v>0</v>
      </c>
      <c r="D7" s="7">
        <v>593.85</v>
      </c>
      <c r="E7" s="7"/>
      <c r="F7" s="7"/>
      <c r="G7" s="7">
        <f>+C7+D7-E7-F7</f>
        <v>593.85</v>
      </c>
    </row>
    <row r="8" spans="1:10" ht="16" thickBot="1" x14ac:dyDescent="0.25">
      <c r="C8" s="11">
        <f>SUM(C6:C7)</f>
        <v>75.493410852713168</v>
      </c>
      <c r="D8" s="11">
        <f>SUM(D6:D7)</f>
        <v>593.85</v>
      </c>
      <c r="E8" s="11">
        <f>SUM(E6:E7)</f>
        <v>75.489999999999995</v>
      </c>
      <c r="F8" s="11">
        <f>SUM(F6:F7)</f>
        <v>0</v>
      </c>
      <c r="G8" s="11">
        <f>SUM(G6:G7)</f>
        <v>593.85341085271318</v>
      </c>
    </row>
    <row r="9" spans="1:10" x14ac:dyDescent="0.2">
      <c r="A9" s="8" t="s">
        <v>17</v>
      </c>
      <c r="C9" s="7"/>
      <c r="D9" s="7"/>
      <c r="E9" s="7"/>
      <c r="F9" s="7"/>
      <c r="G9" s="7"/>
    </row>
    <row r="10" spans="1:10" s="3" customFormat="1" ht="32" x14ac:dyDescent="0.2">
      <c r="A10" s="22" t="s">
        <v>54</v>
      </c>
      <c r="C10" s="7">
        <v>5000</v>
      </c>
      <c r="D10" s="7"/>
      <c r="E10" s="7"/>
      <c r="F10" s="7"/>
      <c r="G10" s="21">
        <f t="shared" ref="G10:G13" si="1">C10+D10-E10</f>
        <v>5000</v>
      </c>
      <c r="H10" s="3" t="s">
        <v>70</v>
      </c>
    </row>
    <row r="11" spans="1:10" s="3" customFormat="1" ht="32" x14ac:dyDescent="0.2">
      <c r="A11" s="23" t="s">
        <v>58</v>
      </c>
      <c r="C11" s="7">
        <v>1007.57</v>
      </c>
      <c r="D11" s="7"/>
      <c r="E11" s="7"/>
      <c r="F11" s="7"/>
      <c r="G11" s="7">
        <f t="shared" si="1"/>
        <v>1007.57</v>
      </c>
      <c r="I11"/>
    </row>
    <row r="12" spans="1:10" s="3" customFormat="1" ht="16" x14ac:dyDescent="0.2">
      <c r="A12" s="22" t="s">
        <v>53</v>
      </c>
      <c r="C12" s="7">
        <v>5817.19</v>
      </c>
      <c r="D12" s="7"/>
      <c r="E12" s="7"/>
      <c r="F12" s="7"/>
      <c r="G12" s="7">
        <f t="shared" si="1"/>
        <v>5817.19</v>
      </c>
      <c r="I12"/>
    </row>
    <row r="13" spans="1:10" s="3" customFormat="1" ht="32" x14ac:dyDescent="0.2">
      <c r="A13" s="22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10" s="3" customFormat="1" ht="16" x14ac:dyDescent="0.2">
      <c r="A14" s="22" t="s">
        <v>64</v>
      </c>
      <c r="B14" s="3">
        <f>251-30</f>
        <v>221</v>
      </c>
      <c r="C14" s="7">
        <v>145.16</v>
      </c>
      <c r="D14" s="7"/>
      <c r="E14" s="7">
        <f>145.16/251*30</f>
        <v>17.349800796812747</v>
      </c>
      <c r="G14" s="7">
        <f>C14+D14-E14</f>
        <v>127.81019920318725</v>
      </c>
      <c r="I14"/>
      <c r="J14" s="7"/>
    </row>
    <row r="15" spans="1:10" s="3" customFormat="1" ht="16" x14ac:dyDescent="0.2">
      <c r="A15" s="22" t="s">
        <v>69</v>
      </c>
      <c r="B15" s="3">
        <f>317-30</f>
        <v>287</v>
      </c>
      <c r="C15" s="7">
        <v>200</v>
      </c>
      <c r="D15" s="7"/>
      <c r="E15" s="7">
        <f>200/317*30</f>
        <v>18.927444794952681</v>
      </c>
      <c r="G15" s="7">
        <f>C15+D15-E15</f>
        <v>181.07255520504731</v>
      </c>
      <c r="I15"/>
      <c r="J15" s="7"/>
    </row>
    <row r="16" spans="1:10" s="3" customFormat="1" ht="16" x14ac:dyDescent="0.2">
      <c r="A16" s="22" t="s">
        <v>68</v>
      </c>
      <c r="B16" s="3">
        <f>297-30</f>
        <v>267</v>
      </c>
      <c r="C16" s="7">
        <v>931.61</v>
      </c>
      <c r="D16" s="7"/>
      <c r="E16" s="7">
        <f>931.61/297*30</f>
        <v>94.102020202020199</v>
      </c>
      <c r="G16" s="7">
        <f>C16+D16-E16</f>
        <v>837.50797979797983</v>
      </c>
      <c r="I16"/>
      <c r="J16" s="7"/>
    </row>
    <row r="17" spans="1:10" s="3" customFormat="1" ht="16" x14ac:dyDescent="0.2">
      <c r="A17" s="22" t="s">
        <v>63</v>
      </c>
      <c r="B17" s="3">
        <f>309-30</f>
        <v>279</v>
      </c>
      <c r="C17" s="7">
        <v>138.84</v>
      </c>
      <c r="D17" s="7"/>
      <c r="E17" s="7">
        <f>138.84/309*30</f>
        <v>13.479611650485438</v>
      </c>
      <c r="G17" s="7">
        <f>C17+D17-E17</f>
        <v>125.36038834951457</v>
      </c>
      <c r="I17"/>
      <c r="J17" s="7"/>
    </row>
    <row r="18" spans="1:10" s="3" customFormat="1" ht="16" x14ac:dyDescent="0.2">
      <c r="A18" s="22" t="s">
        <v>65</v>
      </c>
      <c r="B18" s="3">
        <f>365-31-30</f>
        <v>304</v>
      </c>
      <c r="C18" s="7">
        <v>314.83</v>
      </c>
      <c r="D18" s="7"/>
      <c r="E18" s="7">
        <v>28.62</v>
      </c>
      <c r="G18" s="7">
        <f>C18+D18-E18</f>
        <v>286.20999999999998</v>
      </c>
      <c r="I18"/>
    </row>
    <row r="19" spans="1:10" s="3" customFormat="1" x14ac:dyDescent="0.2">
      <c r="A19"/>
      <c r="C19" s="7"/>
      <c r="D19" s="7"/>
      <c r="E19" s="7"/>
      <c r="G19" s="7"/>
      <c r="I19"/>
    </row>
    <row r="20" spans="1:10" s="3" customFormat="1" ht="16" thickBot="1" x14ac:dyDescent="0.25">
      <c r="A20"/>
      <c r="C20" s="13">
        <f>SUM(C8:C19)</f>
        <v>14652.423410852713</v>
      </c>
      <c r="D20" s="13">
        <f>SUM(D8:D19)</f>
        <v>593.85</v>
      </c>
      <c r="E20" s="13">
        <f>SUM(E8:E19)</f>
        <v>247.96887744427107</v>
      </c>
      <c r="F20" s="13">
        <f t="shared" ref="F20" si="2">SUM(F8:F19)</f>
        <v>0</v>
      </c>
      <c r="G20" s="13">
        <f>SUM(G8:G19)</f>
        <v>14998.30453340844</v>
      </c>
      <c r="I20"/>
    </row>
    <row r="21" spans="1:10" s="3" customFormat="1" ht="17" thickTop="1" x14ac:dyDescent="0.2">
      <c r="A21" s="22" t="s">
        <v>71</v>
      </c>
      <c r="C21" s="7"/>
      <c r="D21" s="7"/>
      <c r="E21" s="7"/>
      <c r="F21" s="7"/>
      <c r="G21" s="7"/>
      <c r="I21"/>
    </row>
    <row r="22" spans="1:10" s="3" customFormat="1" x14ac:dyDescent="0.2">
      <c r="A22" s="20" t="s">
        <v>60</v>
      </c>
      <c r="C22" s="7"/>
      <c r="D22" s="7"/>
      <c r="E22" s="7"/>
      <c r="F22" s="7"/>
      <c r="G22" s="7"/>
      <c r="I22"/>
    </row>
    <row r="23" spans="1:10" s="3" customFormat="1" x14ac:dyDescent="0.2">
      <c r="A23"/>
      <c r="C23" s="7"/>
      <c r="D23" s="7"/>
      <c r="E23" s="7"/>
      <c r="F23" s="7"/>
      <c r="G23" s="7"/>
      <c r="I23"/>
    </row>
    <row r="24" spans="1:10" s="3" customFormat="1" x14ac:dyDescent="0.2">
      <c r="A24"/>
      <c r="C24" s="7"/>
      <c r="D24" s="7"/>
      <c r="E24" s="7"/>
      <c r="F24" s="7"/>
      <c r="G24" s="7"/>
      <c r="I24"/>
    </row>
    <row r="28" spans="1:10" s="3" customFormat="1" x14ac:dyDescent="0.2">
      <c r="A28"/>
      <c r="C28"/>
      <c r="D28"/>
      <c r="E28"/>
      <c r="F28"/>
      <c r="G28"/>
      <c r="I28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3A794-403B-403E-822C-CCAA6A4A0CD9}">
  <dimension ref="A1:J28"/>
  <sheetViews>
    <sheetView zoomScaleNormal="100" workbookViewId="0">
      <selection activeCell="N18" sqref="N18"/>
    </sheetView>
  </sheetViews>
  <sheetFormatPr baseColWidth="10" defaultColWidth="8.83203125" defaultRowHeight="15" x14ac:dyDescent="0.2"/>
  <cols>
    <col min="1" max="1" width="70.83203125" customWidth="1"/>
    <col min="2" max="2" width="5.6640625" style="3" customWidth="1"/>
    <col min="3" max="7" width="12.6640625" customWidth="1"/>
    <col min="8" max="8" width="5.6640625" style="3" customWidth="1"/>
    <col min="9" max="9" width="5.6640625" customWidth="1"/>
  </cols>
  <sheetData>
    <row r="1" spans="1:10" ht="19" x14ac:dyDescent="0.25">
      <c r="A1" s="1" t="s">
        <v>0</v>
      </c>
      <c r="B1" s="2"/>
      <c r="H1" s="2"/>
      <c r="I1" s="1"/>
    </row>
    <row r="2" spans="1:10" x14ac:dyDescent="0.2">
      <c r="A2" s="8" t="s">
        <v>18</v>
      </c>
    </row>
    <row r="3" spans="1:10" x14ac:dyDescent="0.2">
      <c r="A3" s="14">
        <v>44074</v>
      </c>
      <c r="B3" s="5"/>
      <c r="H3" s="5"/>
      <c r="I3" s="4"/>
    </row>
    <row r="4" spans="1:10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10" ht="15.75" customHeight="1" x14ac:dyDescent="0.2">
      <c r="A5" s="8" t="s">
        <v>1</v>
      </c>
      <c r="C5" s="7"/>
      <c r="D5" s="7"/>
      <c r="E5" s="7"/>
      <c r="F5" s="7"/>
      <c r="G5" s="7"/>
    </row>
    <row r="6" spans="1:10" x14ac:dyDescent="0.2">
      <c r="A6" t="s">
        <v>55</v>
      </c>
      <c r="B6" s="3">
        <f>122-30-31-31</f>
        <v>30</v>
      </c>
      <c r="C6" s="7">
        <v>156.01410852713178</v>
      </c>
      <c r="D6" s="7"/>
      <c r="E6" s="7">
        <f>324.61/129*30+5.03</f>
        <v>80.520697674418614</v>
      </c>
      <c r="F6" s="7"/>
      <c r="G6" s="7">
        <f t="shared" ref="G6" si="0">+C6+D6-E6</f>
        <v>75.493410852713168</v>
      </c>
    </row>
    <row r="7" spans="1:10" x14ac:dyDescent="0.2">
      <c r="A7" t="s">
        <v>56</v>
      </c>
      <c r="B7" s="3">
        <v>236</v>
      </c>
      <c r="C7" s="7">
        <v>593.85</v>
      </c>
      <c r="D7" s="7"/>
      <c r="E7" s="7"/>
      <c r="F7" s="7">
        <v>593.85</v>
      </c>
      <c r="G7" s="7">
        <f>+C7+D7-E7-F7</f>
        <v>0</v>
      </c>
      <c r="I7" t="s">
        <v>67</v>
      </c>
    </row>
    <row r="8" spans="1:10" ht="16" thickBot="1" x14ac:dyDescent="0.25">
      <c r="C8" s="11">
        <f>SUM(C6:C7)</f>
        <v>749.86410852713175</v>
      </c>
      <c r="D8" s="11">
        <f>SUM(D6:D7)</f>
        <v>0</v>
      </c>
      <c r="E8" s="11">
        <f>SUM(E6:E7)</f>
        <v>80.520697674418614</v>
      </c>
      <c r="F8" s="11">
        <f>SUM(F6:F7)</f>
        <v>593.85</v>
      </c>
      <c r="G8" s="11">
        <f>SUM(G6:G7)</f>
        <v>75.493410852713168</v>
      </c>
    </row>
    <row r="9" spans="1:10" x14ac:dyDescent="0.2">
      <c r="A9" s="8" t="s">
        <v>17</v>
      </c>
      <c r="C9" s="7"/>
      <c r="D9" s="7"/>
      <c r="E9" s="7"/>
      <c r="F9" s="7"/>
      <c r="G9" s="7"/>
    </row>
    <row r="10" spans="1:10" s="3" customFormat="1" x14ac:dyDescent="0.2">
      <c r="A10" t="s">
        <v>54</v>
      </c>
      <c r="C10" s="7">
        <v>5000</v>
      </c>
      <c r="D10" s="7"/>
      <c r="E10" s="7"/>
      <c r="F10" s="7"/>
      <c r="G10" s="21">
        <f t="shared" ref="G10:G13" si="1">C10+D10-E10</f>
        <v>5000</v>
      </c>
      <c r="I10" s="20" t="s">
        <v>60</v>
      </c>
    </row>
    <row r="11" spans="1:10" s="3" customFormat="1" x14ac:dyDescent="0.2">
      <c r="A11" s="18" t="s">
        <v>58</v>
      </c>
      <c r="C11" s="7">
        <v>1007.57</v>
      </c>
      <c r="D11" s="7"/>
      <c r="E11" s="7"/>
      <c r="F11" s="7"/>
      <c r="G11" s="7">
        <f t="shared" si="1"/>
        <v>1007.57</v>
      </c>
      <c r="I11"/>
    </row>
    <row r="12" spans="1:10" s="3" customFormat="1" x14ac:dyDescent="0.2">
      <c r="A12" t="s">
        <v>53</v>
      </c>
      <c r="C12" s="7">
        <v>5817.19</v>
      </c>
      <c r="D12" s="7"/>
      <c r="E12" s="7"/>
      <c r="F12" s="7"/>
      <c r="G12" s="7">
        <f t="shared" si="1"/>
        <v>5817.19</v>
      </c>
      <c r="I12"/>
    </row>
    <row r="13" spans="1:10" s="3" customFormat="1" x14ac:dyDescent="0.2">
      <c r="A13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10" s="3" customFormat="1" x14ac:dyDescent="0.2">
      <c r="A14" t="s">
        <v>64</v>
      </c>
      <c r="B14" s="3">
        <v>251</v>
      </c>
      <c r="C14" s="7">
        <v>145.16</v>
      </c>
      <c r="D14" s="7"/>
      <c r="E14" s="7"/>
      <c r="G14" s="7">
        <f>C14+D14-E14</f>
        <v>145.16</v>
      </c>
      <c r="I14"/>
      <c r="J14" s="7"/>
    </row>
    <row r="15" spans="1:10" s="3" customFormat="1" x14ac:dyDescent="0.2">
      <c r="A15" t="s">
        <v>69</v>
      </c>
      <c r="B15" s="3">
        <v>317</v>
      </c>
      <c r="C15" s="7">
        <v>200</v>
      </c>
      <c r="D15" s="7"/>
      <c r="E15" s="7"/>
      <c r="G15" s="7">
        <f>C15+D15-E15</f>
        <v>200</v>
      </c>
      <c r="I15"/>
      <c r="J15" s="7"/>
    </row>
    <row r="16" spans="1:10" s="3" customFormat="1" x14ac:dyDescent="0.2">
      <c r="A16" t="s">
        <v>68</v>
      </c>
      <c r="B16" s="3">
        <v>297</v>
      </c>
      <c r="C16" s="7">
        <v>931.61</v>
      </c>
      <c r="D16" s="7"/>
      <c r="E16" s="7"/>
      <c r="G16" s="7">
        <f>C16+D16-E16</f>
        <v>931.61</v>
      </c>
      <c r="I16"/>
      <c r="J16" s="7"/>
    </row>
    <row r="17" spans="1:10" s="3" customFormat="1" x14ac:dyDescent="0.2">
      <c r="A17" t="s">
        <v>63</v>
      </c>
      <c r="B17" s="3">
        <v>309</v>
      </c>
      <c r="C17" s="7">
        <v>138.84</v>
      </c>
      <c r="D17" s="7"/>
      <c r="E17" s="7"/>
      <c r="G17" s="7">
        <f>C17+D17-E17</f>
        <v>138.84</v>
      </c>
      <c r="I17"/>
      <c r="J17" s="7"/>
    </row>
    <row r="18" spans="1:10" s="3" customFormat="1" x14ac:dyDescent="0.2">
      <c r="A18" t="s">
        <v>65</v>
      </c>
      <c r="B18" s="3">
        <f>365-31</f>
        <v>334</v>
      </c>
      <c r="C18" s="7">
        <v>343.45</v>
      </c>
      <c r="D18" s="7"/>
      <c r="E18" s="7">
        <v>28.62</v>
      </c>
      <c r="G18" s="7">
        <f>C18+D18-E18</f>
        <v>314.83</v>
      </c>
      <c r="I18"/>
    </row>
    <row r="19" spans="1:10" s="3" customFormat="1" x14ac:dyDescent="0.2">
      <c r="A19"/>
      <c r="C19" s="7"/>
      <c r="D19" s="7"/>
      <c r="E19" s="7"/>
      <c r="G19" s="7"/>
      <c r="I19"/>
    </row>
    <row r="20" spans="1:10" s="3" customFormat="1" ht="16" thickBot="1" x14ac:dyDescent="0.25">
      <c r="A20"/>
      <c r="C20" s="13">
        <f>SUM(C8:C19)</f>
        <v>15355.414108527133</v>
      </c>
      <c r="D20" s="13">
        <f>SUM(D8:D19)</f>
        <v>0</v>
      </c>
      <c r="E20" s="13">
        <f>SUM(E8:E19)</f>
        <v>109.14069767441862</v>
      </c>
      <c r="F20" s="13">
        <f t="shared" ref="F20" si="2">SUM(F8:F19)</f>
        <v>593.85</v>
      </c>
      <c r="G20" s="13">
        <f>SUM(G8:G19)</f>
        <v>14652.423410852713</v>
      </c>
      <c r="I20"/>
    </row>
    <row r="21" spans="1:10" s="3" customFormat="1" ht="16" thickTop="1" x14ac:dyDescent="0.2">
      <c r="A21"/>
      <c r="C21" s="7"/>
      <c r="D21" s="7"/>
      <c r="E21" s="7"/>
      <c r="F21" s="7"/>
      <c r="G21" s="7"/>
      <c r="I21"/>
    </row>
    <row r="22" spans="1:10" s="3" customFormat="1" x14ac:dyDescent="0.2">
      <c r="A22"/>
      <c r="C22" s="7"/>
      <c r="D22" s="7"/>
      <c r="E22" s="7"/>
      <c r="F22" s="7"/>
      <c r="G22" s="7"/>
      <c r="I22"/>
    </row>
    <row r="23" spans="1:10" s="3" customFormat="1" x14ac:dyDescent="0.2">
      <c r="A23"/>
      <c r="C23" s="7"/>
      <c r="D23" s="7"/>
      <c r="E23" s="7"/>
      <c r="F23" s="7"/>
      <c r="G23" s="7"/>
      <c r="I23"/>
    </row>
    <row r="24" spans="1:10" s="3" customFormat="1" x14ac:dyDescent="0.2">
      <c r="A24"/>
      <c r="C24" s="7"/>
      <c r="D24" s="7"/>
      <c r="E24" s="7"/>
      <c r="F24" s="7"/>
      <c r="G24" s="7"/>
      <c r="I24"/>
    </row>
    <row r="28" spans="1:10" s="3" customFormat="1" x14ac:dyDescent="0.2">
      <c r="A28"/>
      <c r="C28"/>
      <c r="D28"/>
      <c r="E28"/>
      <c r="F28"/>
      <c r="G28"/>
      <c r="I28"/>
    </row>
  </sheetData>
  <pageMargins left="1" right="1" top="1" bottom="1" header="0.5" footer="0.5"/>
  <pageSetup scale="81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8C8F-957C-46B9-9D51-C0CBB0A16392}">
  <dimension ref="A1:I33"/>
  <sheetViews>
    <sheetView workbookViewId="0">
      <selection activeCell="D21" sqref="D21"/>
    </sheetView>
  </sheetViews>
  <sheetFormatPr baseColWidth="10" defaultColWidth="8.83203125" defaultRowHeight="15" x14ac:dyDescent="0.2"/>
  <cols>
    <col min="1" max="1" width="75.83203125" bestFit="1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9" ht="19" x14ac:dyDescent="0.25">
      <c r="A1" s="1" t="s">
        <v>0</v>
      </c>
      <c r="B1" s="2"/>
      <c r="G1" s="2"/>
      <c r="H1" s="1"/>
    </row>
    <row r="2" spans="1:9" x14ac:dyDescent="0.2">
      <c r="A2" s="8" t="s">
        <v>18</v>
      </c>
    </row>
    <row r="3" spans="1:9" x14ac:dyDescent="0.2">
      <c r="A3" s="14">
        <v>44043</v>
      </c>
      <c r="B3" s="5"/>
      <c r="G3" s="5"/>
      <c r="H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">
      <c r="A5" s="8" t="s">
        <v>1</v>
      </c>
      <c r="C5" s="7"/>
      <c r="D5" s="7"/>
      <c r="E5" s="7"/>
      <c r="F5" s="7"/>
    </row>
    <row r="6" spans="1:9" x14ac:dyDescent="0.2">
      <c r="A6" t="s">
        <v>59</v>
      </c>
      <c r="B6" s="10"/>
      <c r="C6" s="7">
        <v>0</v>
      </c>
      <c r="D6" s="7"/>
      <c r="E6" s="7"/>
      <c r="F6" s="7"/>
      <c r="G6" s="10"/>
      <c r="I6" s="16"/>
    </row>
    <row r="7" spans="1:9" x14ac:dyDescent="0.2">
      <c r="A7" t="s">
        <v>36</v>
      </c>
      <c r="B7" s="10"/>
      <c r="C7" s="7">
        <v>0</v>
      </c>
      <c r="D7" s="7"/>
      <c r="E7" s="7"/>
      <c r="F7" s="7"/>
      <c r="G7" s="10"/>
      <c r="I7" s="16"/>
    </row>
    <row r="8" spans="1:9" x14ac:dyDescent="0.2">
      <c r="A8" t="s">
        <v>39</v>
      </c>
      <c r="B8" s="10">
        <v>0</v>
      </c>
      <c r="C8" s="7">
        <v>0</v>
      </c>
      <c r="D8" s="7"/>
      <c r="E8" s="7"/>
      <c r="F8" s="7">
        <f t="shared" ref="F8:F10" si="0">+C8+D8-E8</f>
        <v>0</v>
      </c>
      <c r="G8" s="10"/>
      <c r="I8" s="16"/>
    </row>
    <row r="9" spans="1:9" x14ac:dyDescent="0.2">
      <c r="A9" t="s">
        <v>55</v>
      </c>
      <c r="B9" s="3">
        <f>122-30-31</f>
        <v>61</v>
      </c>
      <c r="C9" s="7">
        <v>231.50480620155039</v>
      </c>
      <c r="D9" s="7"/>
      <c r="E9" s="7">
        <f>324.61/129*30</f>
        <v>75.490697674418612</v>
      </c>
      <c r="F9" s="7">
        <f>+C9+D9-E9</f>
        <v>156.01410852713178</v>
      </c>
    </row>
    <row r="10" spans="1:9" x14ac:dyDescent="0.2">
      <c r="A10" t="s">
        <v>56</v>
      </c>
      <c r="B10" s="3">
        <v>236</v>
      </c>
      <c r="C10" s="7">
        <v>593.85</v>
      </c>
      <c r="D10" s="7"/>
      <c r="E10" s="7"/>
      <c r="F10" s="7">
        <f t="shared" si="0"/>
        <v>593.85</v>
      </c>
    </row>
    <row r="11" spans="1:9" ht="16" thickBot="1" x14ac:dyDescent="0.25">
      <c r="C11" s="11">
        <f>SUM(C6:C10)</f>
        <v>825.35480620155045</v>
      </c>
      <c r="D11" s="11">
        <f t="shared" ref="D11:F11" si="1">SUM(D6:D10)</f>
        <v>0</v>
      </c>
      <c r="E11" s="11">
        <f t="shared" si="1"/>
        <v>75.490697674418612</v>
      </c>
      <c r="F11" s="11">
        <f t="shared" si="1"/>
        <v>749.86410852713175</v>
      </c>
    </row>
    <row r="12" spans="1:9" x14ac:dyDescent="0.2">
      <c r="A12" s="8" t="s">
        <v>17</v>
      </c>
      <c r="C12" s="7"/>
      <c r="D12" s="7"/>
      <c r="E12" s="7"/>
      <c r="F12" s="7"/>
    </row>
    <row r="13" spans="1:9" s="3" customFormat="1" x14ac:dyDescent="0.2">
      <c r="A13" t="s">
        <v>54</v>
      </c>
      <c r="C13" s="7">
        <v>5000</v>
      </c>
      <c r="D13" s="7"/>
      <c r="E13" s="7"/>
      <c r="F13" s="19">
        <f t="shared" ref="F13:F21" si="2">C13+D13-E13</f>
        <v>5000</v>
      </c>
      <c r="G13" s="20" t="s">
        <v>60</v>
      </c>
      <c r="H13"/>
    </row>
    <row r="14" spans="1:9" s="3" customFormat="1" x14ac:dyDescent="0.2">
      <c r="A14" s="18" t="s">
        <v>58</v>
      </c>
      <c r="C14" s="7">
        <v>1007.57</v>
      </c>
      <c r="D14" s="7"/>
      <c r="E14" s="7"/>
      <c r="F14" s="7">
        <f t="shared" si="2"/>
        <v>1007.57</v>
      </c>
      <c r="H14"/>
    </row>
    <row r="15" spans="1:9" s="3" customFormat="1" x14ac:dyDescent="0.2">
      <c r="A15" t="s">
        <v>53</v>
      </c>
      <c r="C15" s="7">
        <v>5817.19</v>
      </c>
      <c r="D15" s="7"/>
      <c r="E15" s="7"/>
      <c r="F15" s="7">
        <f t="shared" si="2"/>
        <v>5817.19</v>
      </c>
      <c r="H15"/>
    </row>
    <row r="16" spans="1:9" s="3" customFormat="1" x14ac:dyDescent="0.2">
      <c r="A16" t="s">
        <v>52</v>
      </c>
      <c r="C16" s="7">
        <v>1021.73</v>
      </c>
      <c r="D16" s="7"/>
      <c r="E16" s="7"/>
      <c r="F16" s="7">
        <f t="shared" si="2"/>
        <v>1021.73</v>
      </c>
      <c r="H16"/>
    </row>
    <row r="17" spans="1:9" s="3" customFormat="1" x14ac:dyDescent="0.2">
      <c r="A17" t="s">
        <v>64</v>
      </c>
      <c r="B17" s="3">
        <v>251</v>
      </c>
      <c r="C17" s="7">
        <v>145.16</v>
      </c>
      <c r="D17" s="7"/>
      <c r="E17" s="7"/>
      <c r="F17" s="7">
        <f t="shared" si="2"/>
        <v>145.16</v>
      </c>
      <c r="H17"/>
      <c r="I17" s="7"/>
    </row>
    <row r="18" spans="1:9" s="3" customFormat="1" x14ac:dyDescent="0.2">
      <c r="A18" t="s">
        <v>69</v>
      </c>
      <c r="B18" s="3">
        <v>317</v>
      </c>
      <c r="C18" s="7"/>
      <c r="D18" s="7">
        <v>200</v>
      </c>
      <c r="E18" s="7"/>
      <c r="F18" s="7">
        <f t="shared" si="2"/>
        <v>200</v>
      </c>
      <c r="H18"/>
      <c r="I18" s="7"/>
    </row>
    <row r="19" spans="1:9" s="3" customFormat="1" x14ac:dyDescent="0.2">
      <c r="A19" t="s">
        <v>68</v>
      </c>
      <c r="B19" s="3">
        <v>297</v>
      </c>
      <c r="C19" s="7">
        <v>931.61</v>
      </c>
      <c r="D19" s="7"/>
      <c r="E19" s="7"/>
      <c r="F19" s="7">
        <f t="shared" si="2"/>
        <v>931.61</v>
      </c>
      <c r="H19"/>
      <c r="I19" s="7"/>
    </row>
    <row r="20" spans="1:9" s="3" customFormat="1" x14ac:dyDescent="0.2">
      <c r="A20" t="s">
        <v>63</v>
      </c>
      <c r="B20" s="3">
        <v>309</v>
      </c>
      <c r="C20" s="7"/>
      <c r="D20" s="7">
        <v>138.84</v>
      </c>
      <c r="E20" s="7"/>
      <c r="F20" s="7">
        <f t="shared" si="2"/>
        <v>138.84</v>
      </c>
      <c r="H20"/>
      <c r="I20" s="7"/>
    </row>
    <row r="21" spans="1:9" s="3" customFormat="1" x14ac:dyDescent="0.2">
      <c r="A21" t="s">
        <v>65</v>
      </c>
      <c r="B21" s="3">
        <v>365</v>
      </c>
      <c r="C21" s="7"/>
      <c r="D21" s="7">
        <v>343.45</v>
      </c>
      <c r="E21" s="7"/>
      <c r="F21" s="7">
        <f t="shared" si="2"/>
        <v>343.45</v>
      </c>
      <c r="H21"/>
      <c r="I21" s="7"/>
    </row>
    <row r="22" spans="1:9" s="3" customFormat="1" ht="5.25" customHeight="1" x14ac:dyDescent="0.2">
      <c r="A22"/>
      <c r="C22" s="7"/>
      <c r="D22" s="7"/>
      <c r="E22" s="7"/>
      <c r="F22" s="7"/>
      <c r="H22"/>
      <c r="I22" s="7"/>
    </row>
    <row r="23" spans="1:9" s="3" customFormat="1" ht="16" thickBot="1" x14ac:dyDescent="0.25">
      <c r="A23"/>
      <c r="C23" s="13">
        <f>SUM(C11:C22)</f>
        <v>14748.614806201549</v>
      </c>
      <c r="D23" s="13">
        <f>SUM(D11:D22)</f>
        <v>682.29</v>
      </c>
      <c r="E23" s="13">
        <f t="shared" ref="E23" si="3">SUM(E11:E22)</f>
        <v>75.490697674418612</v>
      </c>
      <c r="F23" s="13">
        <f>SUM(F11:F22)</f>
        <v>15355.414108527133</v>
      </c>
      <c r="H23"/>
    </row>
    <row r="24" spans="1:9" s="3" customFormat="1" ht="16" thickTop="1" x14ac:dyDescent="0.2">
      <c r="A24"/>
      <c r="C24" s="12"/>
      <c r="D24" s="7"/>
      <c r="E24" s="7"/>
      <c r="F24" s="7"/>
      <c r="H24"/>
    </row>
    <row r="25" spans="1:9" s="3" customFormat="1" x14ac:dyDescent="0.2">
      <c r="A25"/>
      <c r="C25" s="7"/>
      <c r="D25" s="7"/>
      <c r="E25" s="7"/>
      <c r="F25" s="7"/>
      <c r="H25"/>
    </row>
    <row r="26" spans="1:9" s="3" customFormat="1" x14ac:dyDescent="0.2">
      <c r="A26"/>
      <c r="C26" s="7"/>
      <c r="D26" s="7"/>
      <c r="E26" s="7"/>
      <c r="F26" s="7"/>
      <c r="H26"/>
    </row>
    <row r="27" spans="1:9" s="3" customFormat="1" x14ac:dyDescent="0.2">
      <c r="A27"/>
      <c r="C27" s="7"/>
      <c r="D27" s="7"/>
      <c r="E27" s="7"/>
      <c r="F27" s="7"/>
      <c r="H27"/>
    </row>
    <row r="28" spans="1:9" s="3" customFormat="1" x14ac:dyDescent="0.2">
      <c r="A28"/>
      <c r="C28" s="7"/>
      <c r="D28" s="7"/>
      <c r="E28" s="7"/>
      <c r="F28" s="7"/>
      <c r="H28"/>
    </row>
    <row r="29" spans="1:9" s="3" customFormat="1" x14ac:dyDescent="0.2">
      <c r="A29"/>
      <c r="C29" s="7"/>
      <c r="D29" s="7"/>
      <c r="E29" s="7"/>
      <c r="F29" s="7"/>
      <c r="H29"/>
    </row>
    <row r="33" spans="1:8" s="3" customFormat="1" x14ac:dyDescent="0.2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30249-F292-42B0-AF94-1015B37986B4}">
  <dimension ref="A1:I30"/>
  <sheetViews>
    <sheetView workbookViewId="0">
      <selection activeCell="A18" sqref="A18:XFD18"/>
    </sheetView>
  </sheetViews>
  <sheetFormatPr baseColWidth="10" defaultColWidth="8.83203125" defaultRowHeight="15" x14ac:dyDescent="0.2"/>
  <cols>
    <col min="1" max="1" width="75.83203125" bestFit="1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9" ht="19" x14ac:dyDescent="0.25">
      <c r="A1" s="1" t="s">
        <v>0</v>
      </c>
      <c r="B1" s="2"/>
      <c r="G1" s="2"/>
      <c r="H1" s="1"/>
    </row>
    <row r="2" spans="1:9" x14ac:dyDescent="0.2">
      <c r="A2" s="8" t="s">
        <v>18</v>
      </c>
    </row>
    <row r="3" spans="1:9" x14ac:dyDescent="0.2">
      <c r="A3" s="14">
        <v>44012</v>
      </c>
      <c r="B3" s="5"/>
      <c r="G3" s="5"/>
      <c r="H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">
      <c r="A5" s="8" t="s">
        <v>1</v>
      </c>
      <c r="C5" s="7"/>
      <c r="D5" s="7"/>
      <c r="E5" s="7"/>
      <c r="F5" s="7"/>
    </row>
    <row r="6" spans="1:9" x14ac:dyDescent="0.2">
      <c r="A6" t="s">
        <v>59</v>
      </c>
      <c r="B6" s="10"/>
      <c r="C6" s="7">
        <v>0</v>
      </c>
      <c r="D6" s="7"/>
      <c r="E6" s="7"/>
      <c r="F6" s="7"/>
      <c r="G6" s="10"/>
      <c r="I6" s="16"/>
    </row>
    <row r="7" spans="1:9" x14ac:dyDescent="0.2">
      <c r="A7" t="s">
        <v>36</v>
      </c>
      <c r="B7" s="10"/>
      <c r="C7" s="7">
        <v>0</v>
      </c>
      <c r="D7" s="7"/>
      <c r="E7" s="7"/>
      <c r="F7" s="7"/>
      <c r="G7" s="10"/>
      <c r="I7" s="16"/>
    </row>
    <row r="8" spans="1:9" x14ac:dyDescent="0.2">
      <c r="A8" t="s">
        <v>39</v>
      </c>
      <c r="B8" s="10">
        <v>0</v>
      </c>
      <c r="C8" s="7">
        <v>0</v>
      </c>
      <c r="D8" s="7"/>
      <c r="E8" s="7"/>
      <c r="F8" s="7">
        <f t="shared" ref="F8:F10" si="0">+C8+D8-E8</f>
        <v>0</v>
      </c>
      <c r="G8" s="10"/>
      <c r="I8" s="16"/>
    </row>
    <row r="9" spans="1:9" x14ac:dyDescent="0.2">
      <c r="A9" t="s">
        <v>55</v>
      </c>
      <c r="B9" s="3">
        <f>122-30</f>
        <v>92</v>
      </c>
      <c r="C9" s="7">
        <v>306.99550387596901</v>
      </c>
      <c r="D9" s="7"/>
      <c r="E9" s="7">
        <f>324.61/129*30</f>
        <v>75.490697674418612</v>
      </c>
      <c r="F9" s="7">
        <f t="shared" si="0"/>
        <v>231.50480620155039</v>
      </c>
    </row>
    <row r="10" spans="1:9" x14ac:dyDescent="0.2">
      <c r="A10" t="s">
        <v>56</v>
      </c>
      <c r="B10" s="3">
        <v>236</v>
      </c>
      <c r="C10" s="7">
        <v>593.85</v>
      </c>
      <c r="D10" s="7"/>
      <c r="E10" s="7"/>
      <c r="F10" s="7">
        <f t="shared" si="0"/>
        <v>593.85</v>
      </c>
    </row>
    <row r="11" spans="1:9" ht="16" thickBot="1" x14ac:dyDescent="0.25">
      <c r="C11" s="11">
        <f>SUM(C6:C10)</f>
        <v>900.84550387596903</v>
      </c>
      <c r="D11" s="11">
        <f t="shared" ref="D11:F11" si="1">SUM(D6:D10)</f>
        <v>0</v>
      </c>
      <c r="E11" s="11">
        <f t="shared" si="1"/>
        <v>75.490697674418612</v>
      </c>
      <c r="F11" s="11">
        <f t="shared" si="1"/>
        <v>825.35480620155045</v>
      </c>
    </row>
    <row r="12" spans="1:9" x14ac:dyDescent="0.2">
      <c r="A12" s="8" t="s">
        <v>17</v>
      </c>
      <c r="C12" s="7"/>
      <c r="D12" s="7"/>
      <c r="E12" s="7"/>
      <c r="F12" s="7"/>
    </row>
    <row r="13" spans="1:9" s="3" customFormat="1" x14ac:dyDescent="0.2">
      <c r="A13" t="s">
        <v>54</v>
      </c>
      <c r="C13" s="7">
        <v>5000</v>
      </c>
      <c r="D13" s="7"/>
      <c r="E13" s="7"/>
      <c r="F13" s="19">
        <f t="shared" ref="F13:F18" si="2">C13+D13-E13</f>
        <v>5000</v>
      </c>
      <c r="G13" s="20" t="s">
        <v>60</v>
      </c>
      <c r="H13"/>
    </row>
    <row r="14" spans="1:9" s="3" customFormat="1" x14ac:dyDescent="0.2">
      <c r="A14" s="18" t="s">
        <v>58</v>
      </c>
      <c r="C14" s="7">
        <v>1007.57</v>
      </c>
      <c r="D14" s="7"/>
      <c r="E14" s="7"/>
      <c r="F14" s="7">
        <f t="shared" si="2"/>
        <v>1007.57</v>
      </c>
      <c r="H14"/>
    </row>
    <row r="15" spans="1:9" s="3" customFormat="1" x14ac:dyDescent="0.2">
      <c r="A15" t="s">
        <v>53</v>
      </c>
      <c r="C15" s="7">
        <v>5817.19</v>
      </c>
      <c r="D15" s="7"/>
      <c r="E15" s="7"/>
      <c r="F15" s="7">
        <f t="shared" si="2"/>
        <v>5817.19</v>
      </c>
      <c r="H15"/>
    </row>
    <row r="16" spans="1:9" s="3" customFormat="1" x14ac:dyDescent="0.2">
      <c r="A16" t="s">
        <v>52</v>
      </c>
      <c r="C16" s="7">
        <v>1021.73</v>
      </c>
      <c r="D16" s="7"/>
      <c r="E16" s="7"/>
      <c r="F16" s="7">
        <f t="shared" si="2"/>
        <v>1021.73</v>
      </c>
      <c r="H16"/>
    </row>
    <row r="17" spans="1:9" s="3" customFormat="1" x14ac:dyDescent="0.2">
      <c r="A17" t="s">
        <v>62</v>
      </c>
      <c r="B17" s="3">
        <v>251</v>
      </c>
      <c r="C17" s="7">
        <v>145.16</v>
      </c>
      <c r="D17" s="7"/>
      <c r="E17" s="7"/>
      <c r="F17" s="7">
        <f t="shared" si="2"/>
        <v>145.16</v>
      </c>
      <c r="H17"/>
      <c r="I17" s="7"/>
    </row>
    <row r="18" spans="1:9" s="3" customFormat="1" x14ac:dyDescent="0.2">
      <c r="A18" t="s">
        <v>68</v>
      </c>
      <c r="B18" s="3">
        <v>297</v>
      </c>
      <c r="C18" s="7"/>
      <c r="D18" s="7">
        <v>931.61</v>
      </c>
      <c r="E18" s="7"/>
      <c r="F18" s="7">
        <f t="shared" si="2"/>
        <v>931.61</v>
      </c>
      <c r="H18"/>
      <c r="I18" s="7"/>
    </row>
    <row r="19" spans="1:9" s="3" customFormat="1" x14ac:dyDescent="0.2">
      <c r="A19"/>
      <c r="C19" s="7"/>
      <c r="D19" s="7"/>
      <c r="E19" s="7"/>
      <c r="F19" s="7"/>
      <c r="H19"/>
      <c r="I19" s="7"/>
    </row>
    <row r="20" spans="1:9" s="3" customFormat="1" ht="16" thickBot="1" x14ac:dyDescent="0.25">
      <c r="A20"/>
      <c r="C20" s="13">
        <f>SUM(C11:C17)</f>
        <v>13892.495503875969</v>
      </c>
      <c r="D20" s="13">
        <f>SUM(D13:D17)</f>
        <v>0</v>
      </c>
      <c r="E20" s="13">
        <f>SUM(E13:E17)</f>
        <v>0</v>
      </c>
      <c r="F20" s="13">
        <f>SUM(F11:F19)</f>
        <v>14748.614806201549</v>
      </c>
      <c r="H20"/>
    </row>
    <row r="21" spans="1:9" s="3" customFormat="1" ht="16" thickTop="1" x14ac:dyDescent="0.2">
      <c r="A21"/>
      <c r="C21" s="12"/>
      <c r="D21" s="7"/>
      <c r="E21" s="7"/>
      <c r="F21" s="7"/>
      <c r="H21"/>
    </row>
    <row r="22" spans="1:9" s="3" customFormat="1" x14ac:dyDescent="0.2">
      <c r="A22"/>
      <c r="C22" s="7"/>
      <c r="D22" s="7"/>
      <c r="E22" s="7"/>
      <c r="F22" s="7"/>
      <c r="H22"/>
    </row>
    <row r="23" spans="1:9" s="3" customFormat="1" x14ac:dyDescent="0.2">
      <c r="A23"/>
      <c r="C23" s="7"/>
      <c r="D23" s="7"/>
      <c r="E23" s="7"/>
      <c r="F23" s="7"/>
      <c r="H23"/>
    </row>
    <row r="24" spans="1:9" s="3" customFormat="1" x14ac:dyDescent="0.2">
      <c r="A24"/>
      <c r="C24" s="7"/>
      <c r="D24" s="7"/>
      <c r="E24" s="7"/>
      <c r="F24" s="7"/>
      <c r="H24"/>
    </row>
    <row r="25" spans="1:9" s="3" customFormat="1" x14ac:dyDescent="0.2">
      <c r="A25"/>
      <c r="C25" s="7"/>
      <c r="D25" s="7"/>
      <c r="E25" s="7"/>
      <c r="F25" s="7"/>
      <c r="H25"/>
    </row>
    <row r="26" spans="1:9" s="3" customFormat="1" x14ac:dyDescent="0.2">
      <c r="A26"/>
      <c r="C26" s="7"/>
      <c r="D26" s="7"/>
      <c r="E26" s="7"/>
      <c r="F26" s="7"/>
      <c r="H26"/>
    </row>
    <row r="30" spans="1:9" s="3" customFormat="1" x14ac:dyDescent="0.2">
      <c r="A30"/>
      <c r="C30"/>
      <c r="D30"/>
      <c r="E30"/>
      <c r="F30"/>
      <c r="H30"/>
    </row>
  </sheetData>
  <pageMargins left="1" right="1" top="1" bottom="1" header="0.5" footer="0.5"/>
  <pageSetup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639E6-451B-408A-893D-6C204A01B292}">
  <dimension ref="A1:I28"/>
  <sheetViews>
    <sheetView workbookViewId="0">
      <selection activeCell="B9" sqref="B9"/>
    </sheetView>
  </sheetViews>
  <sheetFormatPr baseColWidth="10" defaultColWidth="8.83203125" defaultRowHeight="15" x14ac:dyDescent="0.2"/>
  <cols>
    <col min="1" max="1" width="75.83203125" bestFit="1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9" ht="19" x14ac:dyDescent="0.25">
      <c r="A1" s="1" t="s">
        <v>0</v>
      </c>
      <c r="B1" s="2"/>
      <c r="G1" s="2"/>
      <c r="H1" s="1"/>
    </row>
    <row r="2" spans="1:9" x14ac:dyDescent="0.2">
      <c r="A2" s="8" t="s">
        <v>18</v>
      </c>
    </row>
    <row r="3" spans="1:9" x14ac:dyDescent="0.2">
      <c r="A3" s="14">
        <v>43982</v>
      </c>
      <c r="B3" s="5"/>
      <c r="G3" s="5"/>
      <c r="H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">
      <c r="A5" s="8" t="s">
        <v>1</v>
      </c>
      <c r="C5" s="7"/>
      <c r="D5" s="7"/>
      <c r="E5" s="7"/>
      <c r="F5" s="7"/>
    </row>
    <row r="6" spans="1:9" x14ac:dyDescent="0.2">
      <c r="A6" t="s">
        <v>59</v>
      </c>
      <c r="B6" s="10"/>
      <c r="C6" s="7">
        <v>0</v>
      </c>
      <c r="D6" s="7"/>
      <c r="E6" s="7"/>
      <c r="F6" s="7"/>
      <c r="G6" s="10"/>
      <c r="I6" s="16"/>
    </row>
    <row r="7" spans="1:9" x14ac:dyDescent="0.2">
      <c r="A7" t="s">
        <v>36</v>
      </c>
      <c r="B7" s="10"/>
      <c r="C7" s="7">
        <v>0</v>
      </c>
      <c r="D7" s="7"/>
      <c r="E7" s="7"/>
      <c r="F7" s="7"/>
      <c r="G7" s="10"/>
      <c r="I7" s="16"/>
    </row>
    <row r="8" spans="1:9" x14ac:dyDescent="0.2">
      <c r="A8" t="s">
        <v>39</v>
      </c>
      <c r="B8" s="10">
        <v>1</v>
      </c>
      <c r="C8" s="7">
        <v>81.08</v>
      </c>
      <c r="D8" s="7"/>
      <c r="E8" s="7">
        <f t="shared" ref="E8" si="0">+ROUND((C8+D8)/B8,2)</f>
        <v>81.08</v>
      </c>
      <c r="F8" s="7">
        <f t="shared" ref="F8:F10" si="1">+C8+D8-E8</f>
        <v>0</v>
      </c>
      <c r="G8" s="10">
        <f t="shared" ref="G8" si="2">B8-1</f>
        <v>0</v>
      </c>
      <c r="I8" s="16"/>
    </row>
    <row r="9" spans="1:9" x14ac:dyDescent="0.2">
      <c r="A9" t="s">
        <v>55</v>
      </c>
      <c r="B9" s="3">
        <v>122</v>
      </c>
      <c r="C9" s="7"/>
      <c r="D9" s="7">
        <v>324.61</v>
      </c>
      <c r="E9" s="7">
        <f>324.61/129*7</f>
        <v>17.61449612403101</v>
      </c>
      <c r="F9" s="7">
        <f t="shared" si="1"/>
        <v>306.99550387596901</v>
      </c>
    </row>
    <row r="10" spans="1:9" x14ac:dyDescent="0.2">
      <c r="A10" t="s">
        <v>56</v>
      </c>
      <c r="B10" s="3">
        <v>236</v>
      </c>
      <c r="C10" s="7"/>
      <c r="D10" s="7">
        <v>593.85</v>
      </c>
      <c r="E10" s="7"/>
      <c r="F10" s="7">
        <f t="shared" si="1"/>
        <v>593.85</v>
      </c>
    </row>
    <row r="11" spans="1:9" ht="16" thickBot="1" x14ac:dyDescent="0.25">
      <c r="C11" s="11">
        <f>SUM(C6:C10)</f>
        <v>81.08</v>
      </c>
      <c r="D11" s="11">
        <f t="shared" ref="D11:F11" si="3">SUM(D6:D10)</f>
        <v>918.46</v>
      </c>
      <c r="E11" s="11">
        <f t="shared" si="3"/>
        <v>98.694496124031005</v>
      </c>
      <c r="F11" s="11">
        <f t="shared" si="3"/>
        <v>900.84550387596903</v>
      </c>
    </row>
    <row r="12" spans="1:9" x14ac:dyDescent="0.2">
      <c r="A12" s="8" t="s">
        <v>17</v>
      </c>
      <c r="C12" s="7"/>
      <c r="D12" s="7"/>
      <c r="E12" s="7"/>
      <c r="F12" s="7"/>
    </row>
    <row r="13" spans="1:9" s="3" customFormat="1" x14ac:dyDescent="0.2">
      <c r="A13" t="s">
        <v>54</v>
      </c>
      <c r="C13" s="7">
        <v>5000</v>
      </c>
      <c r="D13" s="7"/>
      <c r="E13" s="7"/>
      <c r="F13" s="19">
        <f t="shared" ref="F13:F17" si="4">C13+D13-E13</f>
        <v>5000</v>
      </c>
      <c r="G13" s="20" t="s">
        <v>60</v>
      </c>
      <c r="H13"/>
    </row>
    <row r="14" spans="1:9" s="3" customFormat="1" x14ac:dyDescent="0.2">
      <c r="A14" s="18" t="s">
        <v>58</v>
      </c>
      <c r="C14" s="7">
        <v>1007.57</v>
      </c>
      <c r="D14" s="7"/>
      <c r="E14" s="7"/>
      <c r="F14" s="7">
        <f t="shared" si="4"/>
        <v>1007.57</v>
      </c>
      <c r="H14"/>
    </row>
    <row r="15" spans="1:9" s="3" customFormat="1" x14ac:dyDescent="0.2">
      <c r="A15" t="s">
        <v>53</v>
      </c>
      <c r="C15" s="7">
        <v>5817.19</v>
      </c>
      <c r="D15" s="7"/>
      <c r="E15" s="7"/>
      <c r="F15" s="7">
        <f t="shared" si="4"/>
        <v>5817.19</v>
      </c>
      <c r="H15"/>
    </row>
    <row r="16" spans="1:9" s="3" customFormat="1" x14ac:dyDescent="0.2">
      <c r="A16" t="s">
        <v>52</v>
      </c>
      <c r="C16" s="7">
        <v>1021.73</v>
      </c>
      <c r="D16" s="7"/>
      <c r="E16" s="7"/>
      <c r="F16" s="7">
        <f t="shared" si="4"/>
        <v>1021.73</v>
      </c>
      <c r="H16"/>
    </row>
    <row r="17" spans="1:9" s="3" customFormat="1" x14ac:dyDescent="0.2">
      <c r="A17" t="s">
        <v>61</v>
      </c>
      <c r="B17" s="3">
        <v>251</v>
      </c>
      <c r="C17" s="7"/>
      <c r="D17" s="7">
        <v>145.16</v>
      </c>
      <c r="E17" s="7"/>
      <c r="F17" s="7">
        <f t="shared" si="4"/>
        <v>145.16</v>
      </c>
      <c r="H17"/>
      <c r="I17" s="7"/>
    </row>
    <row r="18" spans="1:9" s="3" customFormat="1" ht="16" thickBot="1" x14ac:dyDescent="0.25">
      <c r="A18"/>
      <c r="C18" s="13">
        <f>SUM(C11:C17)</f>
        <v>12927.57</v>
      </c>
      <c r="D18" s="13">
        <f>SUM(D13:D17)</f>
        <v>145.16</v>
      </c>
      <c r="E18" s="13">
        <f>SUM(E13:E17)</f>
        <v>0</v>
      </c>
      <c r="F18" s="13">
        <f>SUM(F11:F17)</f>
        <v>13892.495503875969</v>
      </c>
      <c r="H18"/>
    </row>
    <row r="19" spans="1:9" s="3" customFormat="1" ht="16" thickTop="1" x14ac:dyDescent="0.2">
      <c r="A19"/>
      <c r="C19" s="12"/>
      <c r="D19" s="7"/>
      <c r="E19" s="7"/>
      <c r="F19" s="7"/>
      <c r="H19"/>
    </row>
    <row r="20" spans="1:9" s="3" customFormat="1" x14ac:dyDescent="0.2">
      <c r="A20"/>
      <c r="C20" s="7"/>
      <c r="D20" s="7"/>
      <c r="E20" s="7"/>
      <c r="F20" s="7"/>
      <c r="H20"/>
    </row>
    <row r="21" spans="1:9" s="3" customFormat="1" x14ac:dyDescent="0.2">
      <c r="A21"/>
      <c r="C21" s="7"/>
      <c r="D21" s="7"/>
      <c r="E21" s="7"/>
      <c r="F21" s="7"/>
      <c r="H21"/>
    </row>
    <row r="22" spans="1:9" s="3" customFormat="1" x14ac:dyDescent="0.2">
      <c r="A22"/>
      <c r="C22" s="7"/>
      <c r="D22" s="7"/>
      <c r="E22" s="7"/>
      <c r="F22" s="7"/>
      <c r="H22"/>
    </row>
    <row r="23" spans="1:9" s="3" customFormat="1" x14ac:dyDescent="0.2">
      <c r="A23"/>
      <c r="C23" s="7"/>
      <c r="D23" s="7"/>
      <c r="E23" s="7"/>
      <c r="F23" s="7"/>
      <c r="H23"/>
    </row>
    <row r="24" spans="1:9" s="3" customFormat="1" x14ac:dyDescent="0.2">
      <c r="A24"/>
      <c r="C24" s="7"/>
      <c r="D24" s="7"/>
      <c r="E24" s="7"/>
      <c r="F24" s="7"/>
      <c r="H24"/>
    </row>
    <row r="28" spans="1:9" s="3" customFormat="1" x14ac:dyDescent="0.2">
      <c r="A28"/>
      <c r="C28"/>
      <c r="D28"/>
      <c r="E28"/>
      <c r="F28"/>
      <c r="H28"/>
    </row>
  </sheetData>
  <pageMargins left="1" right="1" top="1" bottom="1" header="0.5" footer="0.5"/>
  <pageSetup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4775-7175-449E-B039-63253B8BF5F4}">
  <dimension ref="A1:I27"/>
  <sheetViews>
    <sheetView workbookViewId="0">
      <selection activeCell="A14" sqref="A14"/>
    </sheetView>
  </sheetViews>
  <sheetFormatPr baseColWidth="10" defaultColWidth="8.83203125" defaultRowHeight="15" x14ac:dyDescent="0.2"/>
  <cols>
    <col min="1" max="1" width="75.83203125" bestFit="1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9" ht="19" x14ac:dyDescent="0.25">
      <c r="A1" s="1" t="s">
        <v>0</v>
      </c>
      <c r="B1" s="2"/>
      <c r="G1" s="2"/>
      <c r="H1" s="1"/>
    </row>
    <row r="2" spans="1:9" x14ac:dyDescent="0.2">
      <c r="A2" s="8" t="s">
        <v>18</v>
      </c>
    </row>
    <row r="3" spans="1:9" x14ac:dyDescent="0.2">
      <c r="A3" s="14">
        <v>43951</v>
      </c>
      <c r="B3" s="5"/>
      <c r="G3" s="5"/>
      <c r="H3" s="4"/>
    </row>
    <row r="4" spans="1:9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">
      <c r="A5" s="8" t="s">
        <v>1</v>
      </c>
      <c r="C5" s="7"/>
      <c r="D5" s="7"/>
      <c r="E5" s="7"/>
      <c r="F5" s="7"/>
    </row>
    <row r="6" spans="1:9" x14ac:dyDescent="0.2">
      <c r="A6" t="s">
        <v>35</v>
      </c>
      <c r="B6" s="10">
        <v>1</v>
      </c>
      <c r="C6" s="7">
        <v>260.98</v>
      </c>
      <c r="D6" s="7"/>
      <c r="E6" s="7">
        <f t="shared" ref="E6:E8" si="0">+ROUND((C6+D6)/B6,2)</f>
        <v>260.98</v>
      </c>
      <c r="F6" s="7">
        <f>+C6+D6-E6</f>
        <v>0</v>
      </c>
      <c r="G6" s="10">
        <f>B6-1</f>
        <v>0</v>
      </c>
      <c r="I6" s="16"/>
    </row>
    <row r="7" spans="1:9" x14ac:dyDescent="0.2">
      <c r="A7" t="s">
        <v>36</v>
      </c>
      <c r="B7" s="10">
        <v>1</v>
      </c>
      <c r="C7" s="7">
        <v>39.389999999999979</v>
      </c>
      <c r="D7" s="7"/>
      <c r="E7" s="7">
        <f t="shared" si="0"/>
        <v>39.39</v>
      </c>
      <c r="F7" s="7">
        <f t="shared" ref="F7:F8" si="1">+C7+D7-E7</f>
        <v>0</v>
      </c>
      <c r="G7" s="10">
        <f t="shared" ref="G7:G8" si="2">B7-1</f>
        <v>0</v>
      </c>
      <c r="I7" s="16"/>
    </row>
    <row r="8" spans="1:9" x14ac:dyDescent="0.2">
      <c r="A8" t="s">
        <v>39</v>
      </c>
      <c r="B8" s="10">
        <v>2</v>
      </c>
      <c r="C8" s="7">
        <v>162.17000000000013</v>
      </c>
      <c r="D8" s="7"/>
      <c r="E8" s="7">
        <f t="shared" si="0"/>
        <v>81.09</v>
      </c>
      <c r="F8" s="7">
        <f t="shared" si="1"/>
        <v>81.080000000000126</v>
      </c>
      <c r="G8" s="10">
        <f t="shared" si="2"/>
        <v>1</v>
      </c>
      <c r="I8" s="16"/>
    </row>
    <row r="9" spans="1:9" x14ac:dyDescent="0.2">
      <c r="C9" s="7"/>
      <c r="D9" s="7"/>
      <c r="E9" s="7"/>
      <c r="F9" s="7"/>
    </row>
    <row r="10" spans="1:9" ht="16" thickBot="1" x14ac:dyDescent="0.25">
      <c r="C10" s="11">
        <f>SUM(C6:C9)</f>
        <v>462.54000000000013</v>
      </c>
      <c r="D10" s="11">
        <f>SUM(D6:D9)</f>
        <v>0</v>
      </c>
      <c r="E10" s="11">
        <f>SUM(E6:E9)</f>
        <v>381.46000000000004</v>
      </c>
      <c r="F10" s="11">
        <f>SUM(F6:F9)</f>
        <v>81.080000000000126</v>
      </c>
    </row>
    <row r="11" spans="1:9" x14ac:dyDescent="0.2">
      <c r="A11" s="8" t="s">
        <v>17</v>
      </c>
      <c r="C11" s="7"/>
      <c r="D11" s="7"/>
      <c r="E11" s="7"/>
      <c r="F11" s="7"/>
    </row>
    <row r="12" spans="1:9" s="3" customFormat="1" x14ac:dyDescent="0.2">
      <c r="A12" t="s">
        <v>54</v>
      </c>
      <c r="C12" s="7">
        <v>5000</v>
      </c>
      <c r="D12" s="7"/>
      <c r="E12" s="7"/>
      <c r="F12" s="7">
        <f t="shared" ref="F12:F16" si="3">C12+D12-E12</f>
        <v>5000</v>
      </c>
      <c r="H12"/>
    </row>
    <row r="13" spans="1:9" s="3" customFormat="1" x14ac:dyDescent="0.2">
      <c r="A13" s="17" t="s">
        <v>43</v>
      </c>
      <c r="C13" s="7">
        <v>1007.57</v>
      </c>
      <c r="D13" s="7"/>
      <c r="E13" s="7"/>
      <c r="F13" s="7">
        <f t="shared" si="3"/>
        <v>1007.57</v>
      </c>
      <c r="H13"/>
    </row>
    <row r="14" spans="1:9" s="3" customFormat="1" x14ac:dyDescent="0.2">
      <c r="A14" t="s">
        <v>53</v>
      </c>
      <c r="C14" s="7">
        <v>5817.19</v>
      </c>
      <c r="D14" s="7"/>
      <c r="E14" s="7"/>
      <c r="F14" s="7">
        <f t="shared" si="3"/>
        <v>5817.19</v>
      </c>
      <c r="H14"/>
    </row>
    <row r="15" spans="1:9" s="3" customFormat="1" x14ac:dyDescent="0.2">
      <c r="A15" t="s">
        <v>52</v>
      </c>
      <c r="C15" s="7">
        <v>1021.73</v>
      </c>
      <c r="D15" s="7"/>
      <c r="E15" s="7"/>
      <c r="F15" s="7">
        <f t="shared" si="3"/>
        <v>1021.73</v>
      </c>
      <c r="H15"/>
    </row>
    <row r="16" spans="1:9" s="3" customFormat="1" x14ac:dyDescent="0.2">
      <c r="A16"/>
      <c r="C16" s="7"/>
      <c r="D16" s="7"/>
      <c r="E16" s="7"/>
      <c r="F16" s="7">
        <f t="shared" si="3"/>
        <v>0</v>
      </c>
      <c r="H16"/>
      <c r="I16" s="7"/>
    </row>
    <row r="17" spans="1:8" s="3" customFormat="1" ht="16" thickBot="1" x14ac:dyDescent="0.25">
      <c r="A17"/>
      <c r="C17" s="13">
        <f>SUM(C10:C16)</f>
        <v>13309.029999999999</v>
      </c>
      <c r="D17" s="13">
        <f>SUM(D12:D16)</f>
        <v>0</v>
      </c>
      <c r="E17" s="13">
        <f>SUM(E12:E16)</f>
        <v>0</v>
      </c>
      <c r="F17" s="13">
        <f>SUM(F10:F16)</f>
        <v>12927.57</v>
      </c>
      <c r="H17"/>
    </row>
    <row r="18" spans="1:8" s="3" customFormat="1" ht="16" thickTop="1" x14ac:dyDescent="0.2">
      <c r="A18"/>
      <c r="C18" s="12"/>
      <c r="D18" s="7"/>
      <c r="E18" s="7"/>
      <c r="F18" s="7"/>
      <c r="H18"/>
    </row>
    <row r="19" spans="1:8" s="3" customFormat="1" x14ac:dyDescent="0.2">
      <c r="A19"/>
      <c r="C19" s="7"/>
      <c r="D19" s="7"/>
      <c r="E19" s="7"/>
      <c r="F19" s="7"/>
      <c r="H19"/>
    </row>
    <row r="20" spans="1:8" s="3" customFormat="1" x14ac:dyDescent="0.2">
      <c r="A20"/>
      <c r="C20" s="7"/>
      <c r="D20" s="7"/>
      <c r="E20" s="7"/>
      <c r="F20" s="7"/>
      <c r="H20"/>
    </row>
    <row r="21" spans="1:8" s="3" customFormat="1" x14ac:dyDescent="0.2">
      <c r="A21"/>
      <c r="C21" s="7"/>
      <c r="D21" s="7"/>
      <c r="E21" s="7"/>
      <c r="F21" s="7"/>
      <c r="H21"/>
    </row>
    <row r="22" spans="1:8" s="3" customFormat="1" x14ac:dyDescent="0.2">
      <c r="A22"/>
      <c r="C22" s="7"/>
      <c r="D22" s="7"/>
      <c r="E22" s="7"/>
      <c r="F22" s="7"/>
      <c r="H22"/>
    </row>
    <row r="23" spans="1:8" s="3" customFormat="1" x14ac:dyDescent="0.2">
      <c r="A23"/>
      <c r="C23" s="7"/>
      <c r="D23" s="7"/>
      <c r="E23" s="7"/>
      <c r="F23" s="7"/>
      <c r="H23"/>
    </row>
    <row r="27" spans="1:8" s="3" customFormat="1" x14ac:dyDescent="0.2">
      <c r="A27"/>
      <c r="C27"/>
      <c r="D27"/>
      <c r="E27"/>
      <c r="F27"/>
      <c r="H27"/>
    </row>
  </sheetData>
  <pageMargins left="1" right="1" top="1" bottom="1" header="0.5" footer="0.5"/>
  <pageSetup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5858-1900-4CA7-B16C-22F8274782CF}">
  <dimension ref="A1:I29"/>
  <sheetViews>
    <sheetView workbookViewId="0">
      <selection activeCell="C10" sqref="C10"/>
    </sheetView>
  </sheetViews>
  <sheetFormatPr baseColWidth="10" defaultColWidth="8.83203125" defaultRowHeight="15" x14ac:dyDescent="0.2"/>
  <cols>
    <col min="1" max="1" width="75.83203125" bestFit="1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9" ht="19" x14ac:dyDescent="0.25">
      <c r="A1" s="1" t="s">
        <v>0</v>
      </c>
      <c r="B1" s="2"/>
      <c r="G1" s="2"/>
      <c r="H1" s="1"/>
    </row>
    <row r="2" spans="1:9" x14ac:dyDescent="0.2">
      <c r="A2" s="8" t="s">
        <v>18</v>
      </c>
    </row>
    <row r="3" spans="1:9" x14ac:dyDescent="0.2">
      <c r="A3" s="14">
        <v>43951</v>
      </c>
      <c r="B3" s="5"/>
      <c r="G3" s="5"/>
      <c r="H3" s="4"/>
    </row>
    <row r="4" spans="1:9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">
      <c r="A5" s="8" t="s">
        <v>1</v>
      </c>
      <c r="C5" s="7"/>
      <c r="D5" s="7"/>
      <c r="E5" s="7"/>
      <c r="F5" s="7"/>
    </row>
    <row r="6" spans="1:9" x14ac:dyDescent="0.2">
      <c r="A6" t="s">
        <v>35</v>
      </c>
      <c r="B6" s="10">
        <v>2</v>
      </c>
      <c r="C6" s="7">
        <v>521.97</v>
      </c>
      <c r="D6" s="7"/>
      <c r="E6" s="7">
        <f t="shared" ref="E6:E8" si="0">+ROUND((C6+D6)/B6,2)</f>
        <v>260.99</v>
      </c>
      <c r="F6" s="7">
        <f>+C6+D6-E6</f>
        <v>260.98</v>
      </c>
      <c r="G6" s="10">
        <f>B6-1</f>
        <v>1</v>
      </c>
      <c r="I6" s="16"/>
    </row>
    <row r="7" spans="1:9" x14ac:dyDescent="0.2">
      <c r="A7" t="s">
        <v>36</v>
      </c>
      <c r="B7" s="10">
        <v>2</v>
      </c>
      <c r="C7" s="7">
        <v>78.789999999999978</v>
      </c>
      <c r="D7" s="7"/>
      <c r="E7" s="7">
        <f t="shared" si="0"/>
        <v>39.4</v>
      </c>
      <c r="F7" s="7">
        <f t="shared" ref="F7:F8" si="1">+C7+D7-E7</f>
        <v>39.389999999999979</v>
      </c>
      <c r="G7" s="10">
        <f t="shared" ref="G7:G8" si="2">B7-1</f>
        <v>1</v>
      </c>
      <c r="I7" s="16"/>
    </row>
    <row r="8" spans="1:9" x14ac:dyDescent="0.2">
      <c r="A8" t="s">
        <v>39</v>
      </c>
      <c r="B8" s="10">
        <v>3</v>
      </c>
      <c r="C8" s="7">
        <v>243.25000000000011</v>
      </c>
      <c r="D8" s="7"/>
      <c r="E8" s="7">
        <f t="shared" si="0"/>
        <v>81.08</v>
      </c>
      <c r="F8" s="7">
        <f t="shared" si="1"/>
        <v>162.17000000000013</v>
      </c>
      <c r="G8" s="10">
        <f t="shared" si="2"/>
        <v>2</v>
      </c>
      <c r="I8" s="16"/>
    </row>
    <row r="9" spans="1:9" x14ac:dyDescent="0.2">
      <c r="C9" s="7"/>
      <c r="D9" s="7"/>
      <c r="E9" s="7"/>
      <c r="F9" s="7"/>
    </row>
    <row r="10" spans="1:9" ht="16" thickBot="1" x14ac:dyDescent="0.25">
      <c r="C10" s="11">
        <f>SUM(C6:C9)</f>
        <v>844.0100000000001</v>
      </c>
      <c r="D10" s="11">
        <f>SUM(D6:D9)</f>
        <v>0</v>
      </c>
      <c r="E10" s="11">
        <f>SUM(E6:E9)</f>
        <v>381.46999999999997</v>
      </c>
      <c r="F10" s="11">
        <f>SUM(F6:F9)</f>
        <v>462.54000000000013</v>
      </c>
    </row>
    <row r="11" spans="1:9" x14ac:dyDescent="0.2">
      <c r="A11" s="8" t="s">
        <v>17</v>
      </c>
      <c r="C11" s="7"/>
      <c r="D11" s="7"/>
      <c r="E11" s="7"/>
      <c r="F11" s="7"/>
    </row>
    <row r="12" spans="1:9" s="3" customFormat="1" x14ac:dyDescent="0.2">
      <c r="A12" t="s">
        <v>54</v>
      </c>
      <c r="C12" s="7">
        <v>5000</v>
      </c>
      <c r="D12" s="7"/>
      <c r="E12" s="7"/>
      <c r="F12" s="7">
        <f t="shared" ref="F12:F18" si="3">C12+D12-E12</f>
        <v>5000</v>
      </c>
      <c r="H12"/>
    </row>
    <row r="13" spans="1:9" s="3" customFormat="1" x14ac:dyDescent="0.2">
      <c r="A13" s="17" t="s">
        <v>43</v>
      </c>
      <c r="C13" s="7">
        <v>1007.57</v>
      </c>
      <c r="D13" s="7"/>
      <c r="E13" s="7"/>
      <c r="F13" s="7">
        <f t="shared" si="3"/>
        <v>1007.57</v>
      </c>
      <c r="H13"/>
    </row>
    <row r="14" spans="1:9" s="3" customFormat="1" x14ac:dyDescent="0.2">
      <c r="A14" t="s">
        <v>53</v>
      </c>
      <c r="C14" s="7">
        <v>5817.19</v>
      </c>
      <c r="D14" s="7"/>
      <c r="E14" s="7"/>
      <c r="F14" s="7">
        <f t="shared" si="3"/>
        <v>5817.19</v>
      </c>
      <c r="H14"/>
    </row>
    <row r="15" spans="1:9" s="3" customFormat="1" x14ac:dyDescent="0.2">
      <c r="A15" s="18" t="s">
        <v>37</v>
      </c>
      <c r="C15" s="7">
        <v>81.99</v>
      </c>
      <c r="D15" s="7"/>
      <c r="E15" s="7">
        <v>81.99</v>
      </c>
      <c r="F15" s="7">
        <f t="shared" si="3"/>
        <v>0</v>
      </c>
      <c r="H15"/>
    </row>
    <row r="16" spans="1:9" s="3" customFormat="1" x14ac:dyDescent="0.2">
      <c r="A16" t="s">
        <v>47</v>
      </c>
      <c r="C16" s="7">
        <v>0</v>
      </c>
      <c r="D16" s="7"/>
      <c r="E16" s="7"/>
      <c r="F16" s="7">
        <f t="shared" si="3"/>
        <v>0</v>
      </c>
      <c r="H16"/>
    </row>
    <row r="17" spans="1:9" s="3" customFormat="1" x14ac:dyDescent="0.2">
      <c r="A17" t="s">
        <v>52</v>
      </c>
      <c r="C17" s="7">
        <v>1021.73</v>
      </c>
      <c r="D17" s="7"/>
      <c r="E17" s="7"/>
      <c r="F17" s="7">
        <f t="shared" si="3"/>
        <v>1021.73</v>
      </c>
      <c r="H17"/>
    </row>
    <row r="18" spans="1:9" s="3" customFormat="1" x14ac:dyDescent="0.2">
      <c r="A18" t="s">
        <v>49</v>
      </c>
      <c r="C18" s="7">
        <v>12697.99</v>
      </c>
      <c r="D18" s="7"/>
      <c r="E18" s="7">
        <v>12697.99</v>
      </c>
      <c r="F18" s="7">
        <f t="shared" si="3"/>
        <v>0</v>
      </c>
      <c r="H18"/>
      <c r="I18" s="7"/>
    </row>
    <row r="19" spans="1:9" s="3" customFormat="1" ht="16" thickBot="1" x14ac:dyDescent="0.25">
      <c r="A19"/>
      <c r="C19" s="13">
        <f>SUM(C10:C18)</f>
        <v>26470.48</v>
      </c>
      <c r="D19" s="13">
        <f>SUM(D12:D18)</f>
        <v>0</v>
      </c>
      <c r="E19" s="13">
        <f>SUM(E12:E18)</f>
        <v>12779.98</v>
      </c>
      <c r="F19" s="13">
        <f>SUM(F10:F18)</f>
        <v>13309.029999999999</v>
      </c>
      <c r="H19"/>
    </row>
    <row r="20" spans="1:9" s="3" customFormat="1" ht="16" thickTop="1" x14ac:dyDescent="0.2">
      <c r="A20"/>
      <c r="C20" s="12"/>
      <c r="D20" s="7"/>
      <c r="E20" s="7"/>
      <c r="F20" s="7"/>
      <c r="H20"/>
    </row>
    <row r="21" spans="1:9" s="3" customFormat="1" x14ac:dyDescent="0.2">
      <c r="A21"/>
      <c r="C21" s="7"/>
      <c r="D21" s="7"/>
      <c r="E21" s="7"/>
      <c r="F21" s="7"/>
      <c r="H21"/>
    </row>
    <row r="22" spans="1:9" s="3" customFormat="1" x14ac:dyDescent="0.2">
      <c r="A22"/>
      <c r="C22" s="7"/>
      <c r="D22" s="7"/>
      <c r="E22" s="7"/>
      <c r="F22" s="7"/>
      <c r="H22"/>
    </row>
    <row r="23" spans="1:9" s="3" customFormat="1" x14ac:dyDescent="0.2">
      <c r="A23"/>
      <c r="C23" s="7"/>
      <c r="D23" s="7"/>
      <c r="E23" s="7"/>
      <c r="F23" s="7"/>
      <c r="H23"/>
    </row>
    <row r="24" spans="1:9" s="3" customFormat="1" x14ac:dyDescent="0.2">
      <c r="A24"/>
      <c r="C24" s="7"/>
      <c r="D24" s="7"/>
      <c r="E24" s="7"/>
      <c r="F24" s="7"/>
      <c r="H24"/>
    </row>
    <row r="25" spans="1:9" s="3" customFormat="1" x14ac:dyDescent="0.2">
      <c r="A25"/>
      <c r="C25" s="7"/>
      <c r="D25" s="7"/>
      <c r="E25" s="7"/>
      <c r="F25" s="7"/>
      <c r="H25"/>
    </row>
    <row r="29" spans="1:9" s="3" customFormat="1" x14ac:dyDescent="0.2">
      <c r="A29"/>
      <c r="C29"/>
      <c r="D29"/>
      <c r="E29"/>
      <c r="F29"/>
      <c r="H29"/>
    </row>
  </sheetData>
  <pageMargins left="1" right="1" top="1" bottom="1" header="0.5" footer="0.5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7DA69-0820-4C04-ABF3-F5354B1BE156}">
  <dimension ref="A1:J30"/>
  <sheetViews>
    <sheetView zoomScale="208" zoomScaleNormal="208" workbookViewId="0">
      <selection activeCell="A4" sqref="A4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9" ht="19" x14ac:dyDescent="0.25">
      <c r="A1" s="1" t="s">
        <v>0</v>
      </c>
      <c r="B1" s="24" t="s">
        <v>72</v>
      </c>
      <c r="H1" s="2"/>
      <c r="I1" s="1"/>
    </row>
    <row r="2" spans="1:9" x14ac:dyDescent="0.2">
      <c r="A2" s="8" t="s">
        <v>18</v>
      </c>
    </row>
    <row r="3" spans="1:9" x14ac:dyDescent="0.2">
      <c r="A3" s="14">
        <v>44439</v>
      </c>
      <c r="B3" s="3">
        <v>31</v>
      </c>
      <c r="H3" s="5"/>
      <c r="I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9" ht="15.75" customHeight="1" x14ac:dyDescent="0.2">
      <c r="A5" s="8" t="s">
        <v>1</v>
      </c>
      <c r="C5" s="7"/>
      <c r="D5" s="7"/>
      <c r="E5" s="7"/>
      <c r="F5" s="7"/>
      <c r="G5" s="7"/>
    </row>
    <row r="6" spans="1:9" x14ac:dyDescent="0.2">
      <c r="A6" t="s">
        <v>83</v>
      </c>
      <c r="B6" s="3">
        <v>213</v>
      </c>
      <c r="C6" s="7">
        <v>3204.92</v>
      </c>
      <c r="D6" s="7"/>
      <c r="E6" s="7"/>
      <c r="F6" s="7"/>
      <c r="G6" s="7">
        <f t="shared" ref="G6" si="0">+C6+D6-E6</f>
        <v>3204.92</v>
      </c>
    </row>
    <row r="7" spans="1:9" x14ac:dyDescent="0.2">
      <c r="A7" t="s">
        <v>84</v>
      </c>
      <c r="B7" s="3">
        <v>273</v>
      </c>
      <c r="C7" s="7">
        <v>1511.57</v>
      </c>
      <c r="D7" s="7"/>
      <c r="E7" s="7"/>
      <c r="F7" s="7"/>
      <c r="G7" s="7">
        <f>+C7+D7-E7-F7</f>
        <v>1511.57</v>
      </c>
    </row>
    <row r="8" spans="1:9" ht="16" thickBot="1" x14ac:dyDescent="0.25">
      <c r="C8" s="11">
        <f>SUM(C6:C7)</f>
        <v>4716.49</v>
      </c>
      <c r="D8" s="11">
        <f>SUM(D6:D7)</f>
        <v>0</v>
      </c>
      <c r="E8" s="11">
        <f>SUM(E6:E7)</f>
        <v>0</v>
      </c>
      <c r="F8" s="11">
        <f>SUM(F6:F7)</f>
        <v>0</v>
      </c>
      <c r="G8" s="11">
        <f>SUM(G6:G7)</f>
        <v>4716.49</v>
      </c>
    </row>
    <row r="9" spans="1:9" x14ac:dyDescent="0.2">
      <c r="A9" s="8" t="s">
        <v>17</v>
      </c>
      <c r="C9" s="7"/>
      <c r="D9" s="7"/>
      <c r="E9" s="7"/>
      <c r="F9" s="7"/>
      <c r="G9" s="7"/>
    </row>
    <row r="10" spans="1:9" x14ac:dyDescent="0.2">
      <c r="A10" s="8" t="s">
        <v>82</v>
      </c>
      <c r="C10" s="7">
        <v>10000</v>
      </c>
      <c r="D10" s="7"/>
      <c r="E10" s="7"/>
      <c r="F10" s="7"/>
      <c r="G10" s="7">
        <f>C10+D10-E10</f>
        <v>10000</v>
      </c>
    </row>
    <row r="11" spans="1:9" s="3" customFormat="1" ht="32" x14ac:dyDescent="0.2">
      <c r="A11" s="23" t="s">
        <v>58</v>
      </c>
      <c r="C11" s="19">
        <v>1007.57</v>
      </c>
      <c r="D11" s="7"/>
      <c r="E11" s="7"/>
      <c r="F11" s="7"/>
      <c r="G11" s="7">
        <f>C11+D11-E11</f>
        <v>1007.57</v>
      </c>
      <c r="I11"/>
    </row>
    <row r="12" spans="1:9" s="3" customFormat="1" ht="16" x14ac:dyDescent="0.2">
      <c r="A12" s="22" t="s">
        <v>53</v>
      </c>
      <c r="C12" s="19">
        <v>5817.19</v>
      </c>
      <c r="D12" s="7"/>
      <c r="E12" s="7"/>
      <c r="F12" s="7"/>
      <c r="G12" s="7">
        <f t="shared" ref="G12:G19" si="1">C12+D12-E12</f>
        <v>5817.19</v>
      </c>
      <c r="I12"/>
    </row>
    <row r="13" spans="1:9" s="3" customFormat="1" ht="32" x14ac:dyDescent="0.2">
      <c r="A13" s="22" t="s">
        <v>52</v>
      </c>
      <c r="C13" s="19">
        <v>1021.73</v>
      </c>
      <c r="D13" s="7"/>
      <c r="E13" s="7"/>
      <c r="F13" s="7"/>
      <c r="G13" s="7">
        <f t="shared" si="1"/>
        <v>1021.73</v>
      </c>
      <c r="I13"/>
    </row>
    <row r="14" spans="1:9" s="3" customFormat="1" ht="16" x14ac:dyDescent="0.2">
      <c r="A14" s="22" t="s">
        <v>75</v>
      </c>
      <c r="C14" s="7">
        <v>13850.12</v>
      </c>
      <c r="D14" s="7"/>
      <c r="E14" s="7"/>
      <c r="F14" s="7"/>
      <c r="G14" s="7">
        <f t="shared" si="1"/>
        <v>13850.12</v>
      </c>
      <c r="I14"/>
    </row>
    <row r="15" spans="1:9" s="3" customFormat="1" ht="16" x14ac:dyDescent="0.2">
      <c r="A15" s="22" t="s">
        <v>77</v>
      </c>
      <c r="B15" s="3">
        <v>122</v>
      </c>
      <c r="C15" s="7">
        <v>153.75</v>
      </c>
      <c r="D15" s="7"/>
      <c r="E15" s="7"/>
      <c r="F15" s="7"/>
      <c r="G15" s="7">
        <f t="shared" si="1"/>
        <v>153.75</v>
      </c>
      <c r="I15"/>
    </row>
    <row r="16" spans="1:9" s="3" customFormat="1" ht="16" x14ac:dyDescent="0.2">
      <c r="A16" s="22" t="s">
        <v>78</v>
      </c>
      <c r="B16" s="3">
        <v>365</v>
      </c>
      <c r="C16" s="7">
        <v>251.88</v>
      </c>
      <c r="D16" s="7"/>
      <c r="E16" s="7"/>
      <c r="F16" s="7"/>
      <c r="G16" s="7">
        <f t="shared" si="1"/>
        <v>251.88</v>
      </c>
      <c r="I16"/>
    </row>
    <row r="17" spans="1:10" s="3" customFormat="1" ht="16" x14ac:dyDescent="0.2">
      <c r="A17" s="22" t="s">
        <v>79</v>
      </c>
      <c r="B17" s="3">
        <v>365</v>
      </c>
      <c r="C17" s="7">
        <v>251.88</v>
      </c>
      <c r="D17" s="7"/>
      <c r="E17" s="7"/>
      <c r="F17" s="7"/>
      <c r="G17" s="7">
        <f t="shared" si="1"/>
        <v>251.88</v>
      </c>
      <c r="I17"/>
    </row>
    <row r="18" spans="1:10" s="3" customFormat="1" ht="16" x14ac:dyDescent="0.2">
      <c r="A18" s="22" t="s">
        <v>81</v>
      </c>
      <c r="B18" s="3">
        <v>122</v>
      </c>
      <c r="C18" s="7">
        <v>83.96</v>
      </c>
      <c r="D18" s="7"/>
      <c r="E18" s="7"/>
      <c r="F18" s="7"/>
      <c r="G18" s="7">
        <f t="shared" si="1"/>
        <v>83.96</v>
      </c>
      <c r="I18"/>
    </row>
    <row r="19" spans="1:10" s="3" customFormat="1" ht="16" x14ac:dyDescent="0.2">
      <c r="A19" s="22" t="s">
        <v>86</v>
      </c>
      <c r="B19" s="3">
        <v>307</v>
      </c>
      <c r="C19" s="7">
        <f>124.19+0.01</f>
        <v>124.2</v>
      </c>
      <c r="D19" s="7"/>
      <c r="E19" s="7"/>
      <c r="F19" s="7"/>
      <c r="G19" s="7">
        <f t="shared" si="1"/>
        <v>124.2</v>
      </c>
      <c r="I19"/>
    </row>
    <row r="20" spans="1:10" s="3" customFormat="1" ht="16" x14ac:dyDescent="0.2">
      <c r="A20" s="22" t="s">
        <v>87</v>
      </c>
      <c r="B20" s="3">
        <v>251</v>
      </c>
      <c r="C20" s="7">
        <v>140.02000000000001</v>
      </c>
      <c r="D20" s="7"/>
      <c r="E20" s="7"/>
      <c r="F20" s="27"/>
      <c r="G20" s="7">
        <f>C20+D20-E20</f>
        <v>140.02000000000001</v>
      </c>
      <c r="I20"/>
      <c r="J20" s="7"/>
    </row>
    <row r="21" spans="1:10" s="3" customFormat="1" ht="16" x14ac:dyDescent="0.2">
      <c r="A21" s="22" t="s">
        <v>88</v>
      </c>
      <c r="B21" s="3">
        <v>317</v>
      </c>
      <c r="C21" s="7">
        <v>187.07</v>
      </c>
      <c r="D21" s="7"/>
      <c r="E21" s="7"/>
      <c r="F21" s="27"/>
      <c r="G21" s="7">
        <f>C21+D21-E21</f>
        <v>187.07</v>
      </c>
      <c r="I21"/>
      <c r="J21" s="7"/>
    </row>
    <row r="22" spans="1:10" s="3" customFormat="1" ht="16" x14ac:dyDescent="0.2">
      <c r="A22" s="22" t="s">
        <v>85</v>
      </c>
      <c r="B22" s="3">
        <v>251</v>
      </c>
      <c r="C22" s="7">
        <v>154</v>
      </c>
      <c r="D22" s="7"/>
      <c r="E22" s="7"/>
      <c r="F22" s="27"/>
      <c r="G22" s="7">
        <f t="shared" ref="G22:G23" si="2">C22+D22-E22</f>
        <v>154</v>
      </c>
      <c r="I22"/>
      <c r="J22" s="7"/>
    </row>
    <row r="23" spans="1:10" s="3" customFormat="1" ht="16" x14ac:dyDescent="0.2">
      <c r="A23" s="22" t="s">
        <v>74</v>
      </c>
      <c r="B23" s="3">
        <v>1509</v>
      </c>
      <c r="C23" s="7">
        <v>495.34</v>
      </c>
      <c r="D23" s="7"/>
      <c r="E23" s="7"/>
      <c r="F23" s="27"/>
      <c r="G23" s="7">
        <f t="shared" si="2"/>
        <v>495.34</v>
      </c>
      <c r="I23"/>
    </row>
    <row r="24" spans="1:10" s="3" customFormat="1" x14ac:dyDescent="0.2">
      <c r="A24"/>
      <c r="C24" s="25">
        <f>SUM(C10:C23)</f>
        <v>33538.71</v>
      </c>
      <c r="D24" s="25">
        <f>SUM(D10:D23)</f>
        <v>0</v>
      </c>
      <c r="E24" s="25">
        <f>SUM(E10:E23)</f>
        <v>0</v>
      </c>
      <c r="F24" s="25">
        <f>SUM(F10:F23)</f>
        <v>0</v>
      </c>
      <c r="G24" s="25">
        <f>SUM(G10:G23)</f>
        <v>33538.71</v>
      </c>
      <c r="I24"/>
    </row>
    <row r="25" spans="1:10" s="3" customFormat="1" ht="16" thickBot="1" x14ac:dyDescent="0.25">
      <c r="C25" s="26">
        <f>C8+C24</f>
        <v>38255.199999999997</v>
      </c>
      <c r="D25" s="26">
        <f>D8+D24</f>
        <v>0</v>
      </c>
      <c r="E25" s="26">
        <f>E8+E24</f>
        <v>0</v>
      </c>
      <c r="F25" s="26">
        <f>F8+F24</f>
        <v>0</v>
      </c>
      <c r="G25" s="26">
        <f>G8+G24</f>
        <v>38255.199999999997</v>
      </c>
      <c r="I25"/>
    </row>
    <row r="26" spans="1:10" s="3" customFormat="1" ht="16" thickTop="1" x14ac:dyDescent="0.2">
      <c r="A26"/>
      <c r="C26" s="7"/>
      <c r="D26" s="7"/>
      <c r="E26" s="7"/>
      <c r="F26" s="7"/>
      <c r="G26" s="7"/>
      <c r="I26"/>
    </row>
    <row r="30" spans="1:10" s="3" customFormat="1" x14ac:dyDescent="0.2">
      <c r="A30"/>
      <c r="C30"/>
      <c r="D30"/>
      <c r="E30"/>
      <c r="F30"/>
      <c r="G30"/>
      <c r="I30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36F93-7052-49F4-8DA5-599F4F4B20BC}">
  <dimension ref="A1:I34"/>
  <sheetViews>
    <sheetView workbookViewId="0">
      <selection activeCell="D19" sqref="D19"/>
    </sheetView>
  </sheetViews>
  <sheetFormatPr baseColWidth="10" defaultColWidth="8.83203125" defaultRowHeight="15" x14ac:dyDescent="0.2"/>
  <cols>
    <col min="1" max="1" width="75.83203125" bestFit="1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9" ht="19" x14ac:dyDescent="0.25">
      <c r="A1" s="1" t="s">
        <v>0</v>
      </c>
      <c r="B1" s="2"/>
      <c r="G1" s="2"/>
      <c r="H1" s="1"/>
    </row>
    <row r="2" spans="1:9" x14ac:dyDescent="0.2">
      <c r="A2" s="8" t="s">
        <v>18</v>
      </c>
    </row>
    <row r="3" spans="1:9" x14ac:dyDescent="0.2">
      <c r="A3" s="14">
        <v>43890</v>
      </c>
      <c r="B3" s="5"/>
      <c r="G3" s="5"/>
      <c r="H3" s="4"/>
    </row>
    <row r="4" spans="1:9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">
      <c r="A5" s="8" t="s">
        <v>1</v>
      </c>
      <c r="C5" s="7"/>
      <c r="D5" s="7"/>
      <c r="E5" s="7"/>
      <c r="F5" s="7"/>
    </row>
    <row r="6" spans="1:9" x14ac:dyDescent="0.2">
      <c r="A6" t="s">
        <v>40</v>
      </c>
      <c r="B6" s="9">
        <v>1</v>
      </c>
      <c r="C6" s="7">
        <v>0</v>
      </c>
      <c r="D6" s="7"/>
      <c r="E6" s="7"/>
      <c r="F6" s="7"/>
      <c r="G6" s="9"/>
      <c r="H6" s="8"/>
    </row>
    <row r="7" spans="1:9" x14ac:dyDescent="0.2">
      <c r="A7" t="s">
        <v>8</v>
      </c>
      <c r="C7" s="7"/>
      <c r="D7" s="7"/>
      <c r="E7" s="7"/>
      <c r="F7" s="7"/>
    </row>
    <row r="8" spans="1:9" x14ac:dyDescent="0.2">
      <c r="A8" t="s">
        <v>26</v>
      </c>
      <c r="C8" s="7"/>
      <c r="D8" s="7"/>
      <c r="E8" s="7"/>
      <c r="F8" s="7"/>
    </row>
    <row r="9" spans="1:9" x14ac:dyDescent="0.2">
      <c r="A9" t="s">
        <v>25</v>
      </c>
      <c r="C9" s="7">
        <v>0</v>
      </c>
      <c r="D9" s="7"/>
      <c r="E9" s="7"/>
      <c r="F9" s="7">
        <f>+C9+D9-E9</f>
        <v>0</v>
      </c>
      <c r="G9" s="10">
        <f>B9-COUNT(E9)</f>
        <v>0</v>
      </c>
    </row>
    <row r="10" spans="1:9" x14ac:dyDescent="0.2">
      <c r="A10" t="s">
        <v>35</v>
      </c>
      <c r="B10" s="10">
        <v>3</v>
      </c>
      <c r="C10" s="7">
        <v>782.95</v>
      </c>
      <c r="D10" s="7"/>
      <c r="E10" s="7">
        <f t="shared" ref="E10:E12" si="0">+ROUND((C10+D10)/B10,2)</f>
        <v>260.98</v>
      </c>
      <c r="F10" s="7">
        <f>+C10+D10-E10</f>
        <v>521.97</v>
      </c>
      <c r="G10" s="10">
        <v>2</v>
      </c>
      <c r="I10" s="16"/>
    </row>
    <row r="11" spans="1:9" x14ac:dyDescent="0.2">
      <c r="A11" t="s">
        <v>36</v>
      </c>
      <c r="B11" s="10">
        <v>3</v>
      </c>
      <c r="C11" s="7">
        <v>118.17999999999998</v>
      </c>
      <c r="D11" s="7"/>
      <c r="E11" s="7">
        <f t="shared" si="0"/>
        <v>39.39</v>
      </c>
      <c r="F11" s="7">
        <f t="shared" ref="F11:F12" si="1">+C11+D11-E11</f>
        <v>78.789999999999978</v>
      </c>
      <c r="G11" s="10">
        <v>2</v>
      </c>
      <c r="I11" s="16"/>
    </row>
    <row r="12" spans="1:9" x14ac:dyDescent="0.2">
      <c r="A12" t="s">
        <v>39</v>
      </c>
      <c r="B12" s="10">
        <v>4</v>
      </c>
      <c r="C12" s="7">
        <v>324.3300000000001</v>
      </c>
      <c r="D12" s="7"/>
      <c r="E12" s="7">
        <f t="shared" si="0"/>
        <v>81.08</v>
      </c>
      <c r="F12" s="7">
        <f t="shared" si="1"/>
        <v>243.25000000000011</v>
      </c>
      <c r="G12" s="10">
        <v>3</v>
      </c>
      <c r="I12" s="16"/>
    </row>
    <row r="13" spans="1:9" x14ac:dyDescent="0.2">
      <c r="C13" s="7"/>
      <c r="D13" s="7"/>
      <c r="E13" s="7"/>
      <c r="F13" s="7"/>
    </row>
    <row r="14" spans="1:9" ht="16" thickBot="1" x14ac:dyDescent="0.25">
      <c r="C14" s="11">
        <f>SUM(C6:C13)</f>
        <v>1225.46</v>
      </c>
      <c r="D14" s="11">
        <f>SUM(D6:D13)</f>
        <v>0</v>
      </c>
      <c r="E14" s="11">
        <f>SUM(E6:E13)</f>
        <v>381.45</v>
      </c>
      <c r="F14" s="11">
        <f>SUM(F6:F13)</f>
        <v>844.0100000000001</v>
      </c>
    </row>
    <row r="15" spans="1:9" x14ac:dyDescent="0.2">
      <c r="A15" s="8" t="s">
        <v>17</v>
      </c>
      <c r="C15" s="7"/>
      <c r="D15" s="7"/>
      <c r="E15" s="7"/>
      <c r="F15" s="7"/>
    </row>
    <row r="16" spans="1:9" s="3" customFormat="1" x14ac:dyDescent="0.2">
      <c r="A16" t="s">
        <v>45</v>
      </c>
      <c r="C16" s="7">
        <v>0</v>
      </c>
      <c r="D16" s="7"/>
      <c r="E16" s="7"/>
      <c r="F16" s="7">
        <f>C16+D16-E16</f>
        <v>0</v>
      </c>
      <c r="H16"/>
    </row>
    <row r="17" spans="1:9" s="3" customFormat="1" x14ac:dyDescent="0.2">
      <c r="A17" t="s">
        <v>30</v>
      </c>
      <c r="C17" s="7">
        <v>5000</v>
      </c>
      <c r="D17" s="7"/>
      <c r="E17" s="7"/>
      <c r="F17" s="7">
        <f t="shared" ref="F17:F23" si="2">C17+D17-E17</f>
        <v>5000</v>
      </c>
      <c r="H17"/>
    </row>
    <row r="18" spans="1:9" s="3" customFormat="1" x14ac:dyDescent="0.2">
      <c r="A18" t="s">
        <v>43</v>
      </c>
      <c r="C18" s="7">
        <v>1007.57</v>
      </c>
      <c r="D18" s="7"/>
      <c r="E18" s="7"/>
      <c r="F18" s="7">
        <f t="shared" si="2"/>
        <v>1007.57</v>
      </c>
      <c r="H18"/>
    </row>
    <row r="19" spans="1:9" s="3" customFormat="1" x14ac:dyDescent="0.2">
      <c r="A19" t="s">
        <v>51</v>
      </c>
      <c r="C19" s="7"/>
      <c r="D19" s="7">
        <v>5817.19</v>
      </c>
      <c r="E19" s="7"/>
      <c r="F19" s="7">
        <f t="shared" si="2"/>
        <v>5817.19</v>
      </c>
      <c r="H19"/>
    </row>
    <row r="20" spans="1:9" s="3" customFormat="1" x14ac:dyDescent="0.2">
      <c r="A20" t="s">
        <v>37</v>
      </c>
      <c r="C20" s="7">
        <v>81.99</v>
      </c>
      <c r="D20" s="7"/>
      <c r="E20" s="7"/>
      <c r="F20" s="7">
        <f t="shared" si="2"/>
        <v>81.99</v>
      </c>
      <c r="H20"/>
    </row>
    <row r="21" spans="1:9" s="3" customFormat="1" x14ac:dyDescent="0.2">
      <c r="A21" t="s">
        <v>47</v>
      </c>
      <c r="C21" s="7">
        <v>2500</v>
      </c>
      <c r="D21" s="7"/>
      <c r="E21" s="7">
        <v>2500</v>
      </c>
      <c r="F21" s="7">
        <f t="shared" si="2"/>
        <v>0</v>
      </c>
      <c r="H21"/>
    </row>
    <row r="22" spans="1:9" s="3" customFormat="1" x14ac:dyDescent="0.2">
      <c r="A22" t="s">
        <v>48</v>
      </c>
      <c r="C22" s="7">
        <v>1021.73</v>
      </c>
      <c r="D22" s="7"/>
      <c r="E22" s="7"/>
      <c r="F22" s="7">
        <f t="shared" si="2"/>
        <v>1021.73</v>
      </c>
      <c r="H22"/>
    </row>
    <row r="23" spans="1:9" s="3" customFormat="1" x14ac:dyDescent="0.2">
      <c r="A23" t="s">
        <v>49</v>
      </c>
      <c r="C23" s="7">
        <v>25395.98</v>
      </c>
      <c r="D23" s="7"/>
      <c r="E23" s="7">
        <f>C23/2</f>
        <v>12697.99</v>
      </c>
      <c r="F23" s="7">
        <f t="shared" si="2"/>
        <v>12697.99</v>
      </c>
      <c r="H23"/>
      <c r="I23" s="7"/>
    </row>
    <row r="24" spans="1:9" s="3" customFormat="1" ht="16" thickBot="1" x14ac:dyDescent="0.25">
      <c r="A24"/>
      <c r="C24" s="13">
        <f>SUM(C14:C23)</f>
        <v>36232.729999999996</v>
      </c>
      <c r="D24" s="13">
        <f>SUM(D16:D23)</f>
        <v>5817.19</v>
      </c>
      <c r="E24" s="13">
        <f>SUM(E16:E23)</f>
        <v>15197.99</v>
      </c>
      <c r="F24" s="13">
        <f>SUM(F14:F23)</f>
        <v>26470.48</v>
      </c>
      <c r="H24"/>
    </row>
    <row r="25" spans="1:9" s="3" customFormat="1" ht="16" thickTop="1" x14ac:dyDescent="0.2">
      <c r="A25"/>
      <c r="C25" s="12"/>
      <c r="D25" s="7"/>
      <c r="E25" s="7"/>
      <c r="F25" s="7"/>
      <c r="H25"/>
    </row>
    <row r="26" spans="1:9" s="3" customFormat="1" x14ac:dyDescent="0.2">
      <c r="A26"/>
      <c r="C26" s="7"/>
      <c r="D26" s="7"/>
      <c r="E26" s="7"/>
      <c r="F26" s="7"/>
      <c r="H26"/>
    </row>
    <row r="27" spans="1:9" s="3" customFormat="1" x14ac:dyDescent="0.2">
      <c r="A27"/>
      <c r="C27" s="7"/>
      <c r="D27" s="7"/>
      <c r="E27" s="7"/>
      <c r="F27" s="7"/>
      <c r="H27"/>
    </row>
    <row r="28" spans="1:9" s="3" customFormat="1" x14ac:dyDescent="0.2">
      <c r="A28"/>
      <c r="C28" s="7"/>
      <c r="D28" s="7"/>
      <c r="E28" s="7"/>
      <c r="F28" s="7"/>
      <c r="H28"/>
    </row>
    <row r="29" spans="1:9" s="3" customFormat="1" x14ac:dyDescent="0.2">
      <c r="A29"/>
      <c r="C29" s="7"/>
      <c r="D29" s="7"/>
      <c r="E29" s="7"/>
      <c r="F29" s="7"/>
      <c r="H29"/>
    </row>
    <row r="30" spans="1:9" s="3" customFormat="1" x14ac:dyDescent="0.2">
      <c r="A30"/>
      <c r="C30" s="7"/>
      <c r="D30" s="7"/>
      <c r="E30" s="7"/>
      <c r="F30" s="7"/>
      <c r="H30"/>
    </row>
    <row r="34" spans="1:8" s="3" customFormat="1" x14ac:dyDescent="0.2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9061-5AB2-4C2F-8385-E263C37D535D}">
  <dimension ref="A1:I33"/>
  <sheetViews>
    <sheetView workbookViewId="0">
      <selection activeCell="E17" sqref="E17"/>
    </sheetView>
  </sheetViews>
  <sheetFormatPr baseColWidth="10" defaultColWidth="8.83203125" defaultRowHeight="15" x14ac:dyDescent="0.2"/>
  <cols>
    <col min="1" max="1" width="75.83203125" bestFit="1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9" ht="19" x14ac:dyDescent="0.25">
      <c r="A1" s="1" t="s">
        <v>0</v>
      </c>
      <c r="B1" s="2"/>
      <c r="G1" s="2"/>
      <c r="H1" s="1"/>
    </row>
    <row r="2" spans="1:9" x14ac:dyDescent="0.2">
      <c r="A2" s="8" t="s">
        <v>18</v>
      </c>
    </row>
    <row r="3" spans="1:9" x14ac:dyDescent="0.2">
      <c r="A3" s="14">
        <v>43861</v>
      </c>
      <c r="B3" s="5"/>
      <c r="G3" s="5"/>
      <c r="H3" s="4"/>
    </row>
    <row r="4" spans="1:9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">
      <c r="A5" s="8" t="s">
        <v>1</v>
      </c>
      <c r="C5" s="7"/>
      <c r="D5" s="7"/>
      <c r="E5" s="7"/>
      <c r="F5" s="7"/>
    </row>
    <row r="6" spans="1:9" x14ac:dyDescent="0.2">
      <c r="A6" t="s">
        <v>40</v>
      </c>
      <c r="B6" s="9">
        <v>1</v>
      </c>
      <c r="C6" s="7">
        <v>0</v>
      </c>
      <c r="D6" s="7"/>
      <c r="E6" s="7"/>
      <c r="F6" s="7"/>
      <c r="G6" s="9"/>
      <c r="H6" s="8"/>
    </row>
    <row r="7" spans="1:9" x14ac:dyDescent="0.2">
      <c r="A7" t="s">
        <v>8</v>
      </c>
      <c r="C7" s="7"/>
      <c r="D7" s="7"/>
      <c r="E7" s="7"/>
      <c r="F7" s="7"/>
    </row>
    <row r="8" spans="1:9" x14ac:dyDescent="0.2">
      <c r="A8" t="s">
        <v>26</v>
      </c>
      <c r="C8" s="7"/>
      <c r="D8" s="7"/>
      <c r="E8" s="7"/>
      <c r="F8" s="7"/>
    </row>
    <row r="9" spans="1:9" x14ac:dyDescent="0.2">
      <c r="A9" t="s">
        <v>25</v>
      </c>
      <c r="C9" s="7">
        <v>0</v>
      </c>
      <c r="D9" s="7"/>
      <c r="E9" s="7"/>
      <c r="F9" s="7">
        <f>+C9+D9-E9</f>
        <v>0</v>
      </c>
      <c r="G9" s="10">
        <f>B9-COUNT(E9)</f>
        <v>0</v>
      </c>
    </row>
    <row r="10" spans="1:9" x14ac:dyDescent="0.2">
      <c r="A10" t="s">
        <v>35</v>
      </c>
      <c r="B10" s="10">
        <v>4</v>
      </c>
      <c r="C10" s="7">
        <v>1043.94</v>
      </c>
      <c r="D10" s="7"/>
      <c r="E10" s="7">
        <f t="shared" ref="E10:E12" si="0">+ROUND((C10+D10)/B10,2)</f>
        <v>260.99</v>
      </c>
      <c r="F10" s="7">
        <f t="shared" ref="F10:F12" si="1">+C10+D10-E10</f>
        <v>782.95</v>
      </c>
      <c r="G10" s="10">
        <v>3</v>
      </c>
      <c r="I10" s="16"/>
    </row>
    <row r="11" spans="1:9" x14ac:dyDescent="0.2">
      <c r="A11" t="s">
        <v>36</v>
      </c>
      <c r="B11" s="10">
        <v>4</v>
      </c>
      <c r="C11" s="7">
        <v>157.57999999999998</v>
      </c>
      <c r="D11" s="7"/>
      <c r="E11" s="7">
        <f t="shared" si="0"/>
        <v>39.4</v>
      </c>
      <c r="F11" s="7">
        <f t="shared" si="1"/>
        <v>118.17999999999998</v>
      </c>
      <c r="G11" s="10">
        <v>3</v>
      </c>
      <c r="I11" s="16"/>
    </row>
    <row r="12" spans="1:9" x14ac:dyDescent="0.2">
      <c r="A12" t="s">
        <v>39</v>
      </c>
      <c r="B12" s="10">
        <v>5</v>
      </c>
      <c r="C12" s="7">
        <v>405.41000000000008</v>
      </c>
      <c r="D12" s="7"/>
      <c r="E12" s="7">
        <f t="shared" si="0"/>
        <v>81.08</v>
      </c>
      <c r="F12" s="7">
        <f t="shared" si="1"/>
        <v>324.3300000000001</v>
      </c>
      <c r="G12" s="10">
        <v>4</v>
      </c>
      <c r="I12" s="16"/>
    </row>
    <row r="13" spans="1:9" x14ac:dyDescent="0.2">
      <c r="C13" s="7"/>
      <c r="D13" s="7"/>
      <c r="E13" s="7"/>
      <c r="F13" s="7"/>
    </row>
    <row r="14" spans="1:9" ht="16" thickBot="1" x14ac:dyDescent="0.25">
      <c r="C14" s="11">
        <f>SUM(C6:C13)</f>
        <v>1606.93</v>
      </c>
      <c r="D14" s="11">
        <f>SUM(D6:D13)</f>
        <v>0</v>
      </c>
      <c r="E14" s="11">
        <f>SUM(E6:E13)</f>
        <v>381.46999999999997</v>
      </c>
      <c r="F14" s="11">
        <f>SUM(F6:F13)</f>
        <v>1225.46</v>
      </c>
    </row>
    <row r="15" spans="1:9" x14ac:dyDescent="0.2">
      <c r="A15" s="8" t="s">
        <v>17</v>
      </c>
      <c r="C15" s="7"/>
      <c r="D15" s="7"/>
      <c r="E15" s="7"/>
      <c r="F15" s="7"/>
    </row>
    <row r="16" spans="1:9" s="3" customFormat="1" x14ac:dyDescent="0.2">
      <c r="A16" t="s">
        <v>45</v>
      </c>
      <c r="C16" s="7">
        <v>155.88</v>
      </c>
      <c r="D16" s="7"/>
      <c r="E16" s="7">
        <v>155.88</v>
      </c>
      <c r="F16" s="7">
        <f>C16+D16-E16</f>
        <v>0</v>
      </c>
      <c r="H16"/>
    </row>
    <row r="17" spans="1:9" s="3" customFormat="1" x14ac:dyDescent="0.2">
      <c r="A17" t="s">
        <v>30</v>
      </c>
      <c r="C17" s="7">
        <v>5000</v>
      </c>
      <c r="D17" s="7"/>
      <c r="E17" s="7"/>
      <c r="F17" s="7">
        <f t="shared" ref="F17:F22" si="2">C17+D17-E17</f>
        <v>5000</v>
      </c>
      <c r="H17"/>
    </row>
    <row r="18" spans="1:9" s="3" customFormat="1" x14ac:dyDescent="0.2">
      <c r="A18" t="s">
        <v>43</v>
      </c>
      <c r="C18" s="7">
        <v>1007.57</v>
      </c>
      <c r="D18" s="7"/>
      <c r="E18" s="7"/>
      <c r="F18" s="7">
        <f t="shared" si="2"/>
        <v>1007.57</v>
      </c>
      <c r="H18"/>
    </row>
    <row r="19" spans="1:9" s="3" customFormat="1" x14ac:dyDescent="0.2">
      <c r="A19" t="s">
        <v>37</v>
      </c>
      <c r="C19" s="7">
        <v>81.99</v>
      </c>
      <c r="D19" s="7"/>
      <c r="E19" s="7"/>
      <c r="F19" s="7">
        <f t="shared" si="2"/>
        <v>81.99</v>
      </c>
      <c r="H19"/>
    </row>
    <row r="20" spans="1:9" s="3" customFormat="1" x14ac:dyDescent="0.2">
      <c r="A20" t="s">
        <v>47</v>
      </c>
      <c r="C20" s="7">
        <v>2500</v>
      </c>
      <c r="D20" s="7"/>
      <c r="E20" s="7"/>
      <c r="F20" s="7">
        <f t="shared" si="2"/>
        <v>2500</v>
      </c>
      <c r="H20"/>
    </row>
    <row r="21" spans="1:9" s="3" customFormat="1" x14ac:dyDescent="0.2">
      <c r="A21" t="s">
        <v>48</v>
      </c>
      <c r="C21" s="7">
        <v>1021.73</v>
      </c>
      <c r="D21" s="7"/>
      <c r="E21" s="7"/>
      <c r="F21" s="7">
        <f t="shared" si="2"/>
        <v>1021.73</v>
      </c>
      <c r="H21"/>
    </row>
    <row r="22" spans="1:9" s="3" customFormat="1" x14ac:dyDescent="0.2">
      <c r="A22" t="s">
        <v>49</v>
      </c>
      <c r="C22" s="7"/>
      <c r="D22" s="7">
        <f>21706.53+3577.37+112.08</f>
        <v>25395.98</v>
      </c>
      <c r="E22" s="7"/>
      <c r="F22" s="7">
        <f t="shared" si="2"/>
        <v>25395.98</v>
      </c>
      <c r="H22"/>
      <c r="I22" s="7"/>
    </row>
    <row r="23" spans="1:9" s="3" customFormat="1" ht="16" thickBot="1" x14ac:dyDescent="0.25">
      <c r="A23"/>
      <c r="C23" s="13">
        <f>SUM(C14:C22)</f>
        <v>11374.099999999999</v>
      </c>
      <c r="D23" s="13">
        <f>SUM(D16:D22)</f>
        <v>25395.98</v>
      </c>
      <c r="E23" s="13">
        <f>SUM(E16:E22)</f>
        <v>155.88</v>
      </c>
      <c r="F23" s="13">
        <f>SUM(F14:F22)</f>
        <v>36232.729999999996</v>
      </c>
      <c r="H23"/>
    </row>
    <row r="24" spans="1:9" s="3" customFormat="1" ht="16" thickTop="1" x14ac:dyDescent="0.2">
      <c r="A24"/>
      <c r="C24" s="12"/>
      <c r="D24" s="7"/>
      <c r="E24" s="7"/>
      <c r="F24" s="7"/>
      <c r="H24"/>
    </row>
    <row r="25" spans="1:9" s="3" customFormat="1" x14ac:dyDescent="0.2">
      <c r="A25"/>
      <c r="C25" s="7"/>
      <c r="D25" s="7"/>
      <c r="E25" s="7"/>
      <c r="F25" s="7"/>
      <c r="H25"/>
    </row>
    <row r="26" spans="1:9" s="3" customFormat="1" x14ac:dyDescent="0.2">
      <c r="A26"/>
      <c r="C26" s="7"/>
      <c r="D26" s="7"/>
      <c r="E26" s="7"/>
      <c r="F26" s="7"/>
      <c r="H26"/>
    </row>
    <row r="27" spans="1:9" s="3" customFormat="1" x14ac:dyDescent="0.2">
      <c r="A27"/>
      <c r="C27" s="7"/>
      <c r="D27" s="7"/>
      <c r="E27" s="7"/>
      <c r="F27" s="7"/>
      <c r="H27"/>
    </row>
    <row r="28" spans="1:9" s="3" customFormat="1" x14ac:dyDescent="0.2">
      <c r="A28"/>
      <c r="C28" s="7"/>
      <c r="D28" s="7"/>
      <c r="E28" s="7"/>
      <c r="F28" s="7"/>
      <c r="H28"/>
    </row>
    <row r="29" spans="1:9" s="3" customFormat="1" x14ac:dyDescent="0.2">
      <c r="A29"/>
      <c r="C29" s="7"/>
      <c r="D29" s="7"/>
      <c r="E29" s="7"/>
      <c r="F29" s="7"/>
      <c r="H29"/>
    </row>
    <row r="33" spans="1:8" s="3" customFormat="1" x14ac:dyDescent="0.2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1F40-53E4-42CC-8C7C-0B015FDA0A5C}">
  <dimension ref="A1:I33"/>
  <sheetViews>
    <sheetView workbookViewId="0">
      <selection activeCell="A26" sqref="A26"/>
    </sheetView>
  </sheetViews>
  <sheetFormatPr baseColWidth="10" defaultColWidth="8.83203125" defaultRowHeight="15" x14ac:dyDescent="0.2"/>
  <cols>
    <col min="1" max="1" width="75.83203125" bestFit="1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9" ht="19" x14ac:dyDescent="0.25">
      <c r="A1" s="1" t="s">
        <v>0</v>
      </c>
      <c r="B1" s="2"/>
      <c r="G1" s="2"/>
      <c r="H1" s="1"/>
    </row>
    <row r="2" spans="1:9" x14ac:dyDescent="0.2">
      <c r="A2" s="8" t="s">
        <v>18</v>
      </c>
    </row>
    <row r="3" spans="1:9" x14ac:dyDescent="0.2">
      <c r="A3" s="14">
        <v>43830</v>
      </c>
      <c r="B3" s="5"/>
      <c r="G3" s="5"/>
      <c r="H3" s="4"/>
    </row>
    <row r="4" spans="1:9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">
      <c r="A5" s="8" t="s">
        <v>1</v>
      </c>
      <c r="C5" s="7"/>
      <c r="D5" s="7"/>
      <c r="E5" s="7"/>
      <c r="F5" s="7"/>
    </row>
    <row r="6" spans="1:9" x14ac:dyDescent="0.2">
      <c r="A6" t="s">
        <v>40</v>
      </c>
      <c r="B6" s="9">
        <v>1</v>
      </c>
      <c r="C6" s="7">
        <v>0</v>
      </c>
      <c r="D6" s="7"/>
      <c r="E6" s="7"/>
      <c r="F6" s="7"/>
      <c r="G6" s="9"/>
      <c r="H6" s="8"/>
    </row>
    <row r="7" spans="1:9" x14ac:dyDescent="0.2">
      <c r="A7" t="s">
        <v>8</v>
      </c>
      <c r="C7" s="7"/>
      <c r="D7" s="7"/>
      <c r="E7" s="7"/>
      <c r="F7" s="7"/>
    </row>
    <row r="8" spans="1:9" x14ac:dyDescent="0.2">
      <c r="A8" t="s">
        <v>26</v>
      </c>
      <c r="C8" s="7"/>
      <c r="D8" s="7"/>
      <c r="E8" s="7"/>
      <c r="F8" s="7"/>
    </row>
    <row r="9" spans="1:9" x14ac:dyDescent="0.2">
      <c r="A9" t="s">
        <v>25</v>
      </c>
      <c r="C9" s="7">
        <v>0</v>
      </c>
      <c r="D9" s="7"/>
      <c r="E9" s="7"/>
      <c r="F9" s="7">
        <f>+C9+D9-E9</f>
        <v>0</v>
      </c>
      <c r="G9" s="10">
        <f>B9-COUNT(E9)</f>
        <v>0</v>
      </c>
    </row>
    <row r="10" spans="1:9" x14ac:dyDescent="0.2">
      <c r="A10" t="s">
        <v>35</v>
      </c>
      <c r="B10" s="10">
        <v>5</v>
      </c>
      <c r="C10" s="7">
        <v>1304.92</v>
      </c>
      <c r="D10" s="7"/>
      <c r="E10" s="7">
        <f t="shared" ref="E10:E12" si="0">+ROUND((C10+D10)/B10,2)</f>
        <v>260.98</v>
      </c>
      <c r="F10" s="7">
        <f t="shared" ref="F10:F12" si="1">+C10+D10-E10</f>
        <v>1043.94</v>
      </c>
      <c r="G10" s="10">
        <v>4</v>
      </c>
      <c r="I10" s="16"/>
    </row>
    <row r="11" spans="1:9" x14ac:dyDescent="0.2">
      <c r="A11" t="s">
        <v>36</v>
      </c>
      <c r="B11" s="10">
        <v>5</v>
      </c>
      <c r="C11" s="7">
        <v>196.97</v>
      </c>
      <c r="D11" s="7"/>
      <c r="E11" s="7">
        <f t="shared" si="0"/>
        <v>39.39</v>
      </c>
      <c r="F11" s="7">
        <f t="shared" si="1"/>
        <v>157.57999999999998</v>
      </c>
      <c r="G11" s="10">
        <v>4</v>
      </c>
      <c r="I11" s="16"/>
    </row>
    <row r="12" spans="1:9" x14ac:dyDescent="0.2">
      <c r="A12" t="s">
        <v>39</v>
      </c>
      <c r="B12" s="10">
        <v>6</v>
      </c>
      <c r="C12" s="7">
        <v>486.49000000000007</v>
      </c>
      <c r="D12" s="7"/>
      <c r="E12" s="7">
        <f t="shared" si="0"/>
        <v>81.08</v>
      </c>
      <c r="F12" s="7">
        <f t="shared" si="1"/>
        <v>405.41000000000008</v>
      </c>
      <c r="G12" s="10">
        <v>5</v>
      </c>
      <c r="I12" s="16"/>
    </row>
    <row r="13" spans="1:9" x14ac:dyDescent="0.2">
      <c r="C13" s="7"/>
      <c r="D13" s="7"/>
      <c r="E13" s="7"/>
      <c r="F13" s="7"/>
    </row>
    <row r="14" spans="1:9" ht="16" thickBot="1" x14ac:dyDescent="0.25">
      <c r="C14" s="11">
        <f>SUM(C6:C13)</f>
        <v>1988.38</v>
      </c>
      <c r="D14" s="11">
        <f>SUM(D6:D13)</f>
        <v>0</v>
      </c>
      <c r="E14" s="11">
        <f>SUM(E6:E13)</f>
        <v>381.45</v>
      </c>
      <c r="F14" s="11">
        <f>SUM(F6:F13)</f>
        <v>1606.93</v>
      </c>
    </row>
    <row r="15" spans="1:9" x14ac:dyDescent="0.2">
      <c r="A15" s="8" t="s">
        <v>17</v>
      </c>
      <c r="C15" s="7"/>
      <c r="D15" s="7"/>
      <c r="E15" s="7"/>
      <c r="F15" s="7"/>
    </row>
    <row r="16" spans="1:9" s="3" customFormat="1" x14ac:dyDescent="0.2">
      <c r="A16" t="s">
        <v>50</v>
      </c>
      <c r="C16" s="7">
        <v>0</v>
      </c>
      <c r="D16" s="7">
        <v>155.58799999999999</v>
      </c>
      <c r="E16" s="7"/>
      <c r="F16" s="7">
        <f>C16+D16-E16</f>
        <v>155.58799999999999</v>
      </c>
      <c r="H16"/>
    </row>
    <row r="17" spans="1:9" s="3" customFormat="1" x14ac:dyDescent="0.2">
      <c r="A17" t="s">
        <v>30</v>
      </c>
      <c r="C17" s="7">
        <v>5000</v>
      </c>
      <c r="D17" s="7"/>
      <c r="E17" s="7"/>
      <c r="F17" s="7">
        <f t="shared" ref="F17:F22" si="2">C17+D17-E17</f>
        <v>5000</v>
      </c>
      <c r="H17"/>
    </row>
    <row r="18" spans="1:9" s="3" customFormat="1" x14ac:dyDescent="0.2">
      <c r="A18" t="s">
        <v>43</v>
      </c>
      <c r="C18" s="7">
        <v>1007.57</v>
      </c>
      <c r="D18" s="7"/>
      <c r="E18" s="7"/>
      <c r="F18" s="7">
        <f t="shared" si="2"/>
        <v>1007.57</v>
      </c>
      <c r="H18"/>
    </row>
    <row r="19" spans="1:9" s="3" customFormat="1" x14ac:dyDescent="0.2">
      <c r="A19" t="s">
        <v>37</v>
      </c>
      <c r="C19" s="7">
        <v>81.99</v>
      </c>
      <c r="D19" s="7"/>
      <c r="E19" s="7"/>
      <c r="F19" s="7">
        <f t="shared" si="2"/>
        <v>81.99</v>
      </c>
      <c r="H19"/>
    </row>
    <row r="20" spans="1:9" s="3" customFormat="1" x14ac:dyDescent="0.2">
      <c r="A20" t="s">
        <v>47</v>
      </c>
      <c r="C20" s="7">
        <v>2500</v>
      </c>
      <c r="D20" s="7"/>
      <c r="E20" s="7"/>
      <c r="F20" s="7">
        <f t="shared" si="2"/>
        <v>2500</v>
      </c>
      <c r="H20"/>
    </row>
    <row r="21" spans="1:9" s="3" customFormat="1" x14ac:dyDescent="0.2">
      <c r="A21" t="s">
        <v>48</v>
      </c>
      <c r="C21" s="7">
        <v>0</v>
      </c>
      <c r="D21" s="7">
        <v>1021.73</v>
      </c>
      <c r="E21" s="7"/>
      <c r="F21" s="7">
        <f t="shared" si="2"/>
        <v>1021.73</v>
      </c>
      <c r="H21"/>
    </row>
    <row r="22" spans="1:9" s="3" customFormat="1" x14ac:dyDescent="0.2">
      <c r="A22"/>
      <c r="C22" s="7"/>
      <c r="D22" s="7"/>
      <c r="E22" s="7"/>
      <c r="F22" s="7">
        <f t="shared" si="2"/>
        <v>0</v>
      </c>
      <c r="H22"/>
      <c r="I22" s="7"/>
    </row>
    <row r="23" spans="1:9" s="3" customFormat="1" ht="16" thickBot="1" x14ac:dyDescent="0.25">
      <c r="A23"/>
      <c r="C23" s="13">
        <f>SUM(C14:C22)</f>
        <v>10577.939999999999</v>
      </c>
      <c r="D23" s="13">
        <f>SUM(D16:D22)</f>
        <v>1177.318</v>
      </c>
      <c r="E23" s="13">
        <f>SUM(E16:E22)</f>
        <v>0</v>
      </c>
      <c r="F23" s="13">
        <f>SUM(F14:F22)</f>
        <v>11373.807999999999</v>
      </c>
      <c r="H23"/>
    </row>
    <row r="24" spans="1:9" s="3" customFormat="1" ht="16" thickTop="1" x14ac:dyDescent="0.2">
      <c r="A24"/>
      <c r="C24" s="12"/>
      <c r="D24" s="7"/>
      <c r="E24" s="7"/>
      <c r="F24" s="7"/>
      <c r="H24"/>
    </row>
    <row r="25" spans="1:9" s="3" customFormat="1" x14ac:dyDescent="0.2">
      <c r="A25"/>
      <c r="C25" s="7"/>
      <c r="D25" s="7"/>
      <c r="E25" s="7"/>
      <c r="F25" s="7"/>
      <c r="H25"/>
    </row>
    <row r="26" spans="1:9" s="3" customFormat="1" x14ac:dyDescent="0.2">
      <c r="A26"/>
      <c r="C26" s="7"/>
      <c r="D26" s="7"/>
      <c r="E26" s="7"/>
      <c r="F26" s="7"/>
      <c r="H26"/>
    </row>
    <row r="27" spans="1:9" s="3" customFormat="1" x14ac:dyDescent="0.2">
      <c r="A27"/>
      <c r="C27" s="7"/>
      <c r="D27" s="7"/>
      <c r="E27" s="7"/>
      <c r="F27" s="7"/>
      <c r="H27"/>
    </row>
    <row r="28" spans="1:9" s="3" customFormat="1" x14ac:dyDescent="0.2">
      <c r="A28"/>
      <c r="C28" s="7"/>
      <c r="D28" s="7"/>
      <c r="E28" s="7"/>
      <c r="F28" s="7"/>
      <c r="H28"/>
    </row>
    <row r="29" spans="1:9" s="3" customFormat="1" x14ac:dyDescent="0.2">
      <c r="A29"/>
      <c r="C29" s="7"/>
      <c r="D29" s="7"/>
      <c r="E29" s="7"/>
      <c r="F29" s="7"/>
      <c r="H29"/>
    </row>
    <row r="33" spans="1:8" s="3" customFormat="1" x14ac:dyDescent="0.2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8F78B-BE1F-420E-BFD2-D02EC5349885}">
  <dimension ref="A1:I33"/>
  <sheetViews>
    <sheetView workbookViewId="0">
      <selection activeCell="F24" sqref="F24"/>
    </sheetView>
  </sheetViews>
  <sheetFormatPr baseColWidth="10" defaultColWidth="8.83203125" defaultRowHeight="15" x14ac:dyDescent="0.2"/>
  <cols>
    <col min="1" max="1" width="75.83203125" bestFit="1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9" ht="19" x14ac:dyDescent="0.25">
      <c r="A1" s="1" t="s">
        <v>0</v>
      </c>
      <c r="B1" s="2"/>
      <c r="G1" s="2"/>
      <c r="H1" s="1"/>
    </row>
    <row r="2" spans="1:9" x14ac:dyDescent="0.2">
      <c r="A2" s="8" t="s">
        <v>18</v>
      </c>
    </row>
    <row r="3" spans="1:9" x14ac:dyDescent="0.2">
      <c r="A3" s="14">
        <v>43799</v>
      </c>
      <c r="B3" s="5"/>
      <c r="G3" s="5"/>
      <c r="H3" s="4"/>
    </row>
    <row r="4" spans="1:9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9" x14ac:dyDescent="0.2">
      <c r="A5" s="8" t="s">
        <v>1</v>
      </c>
      <c r="C5" s="7"/>
      <c r="D5" s="7"/>
      <c r="E5" s="7"/>
      <c r="F5" s="7"/>
    </row>
    <row r="6" spans="1:9" x14ac:dyDescent="0.2">
      <c r="A6" t="s">
        <v>40</v>
      </c>
      <c r="B6" s="9"/>
      <c r="C6" s="7"/>
      <c r="D6" s="7"/>
      <c r="E6" s="7"/>
      <c r="F6" s="7"/>
      <c r="G6" s="9"/>
      <c r="H6" s="8"/>
    </row>
    <row r="7" spans="1:9" x14ac:dyDescent="0.2">
      <c r="A7" t="s">
        <v>8</v>
      </c>
      <c r="C7" s="7"/>
      <c r="D7" s="7"/>
      <c r="E7" s="7"/>
      <c r="F7" s="7"/>
    </row>
    <row r="8" spans="1:9" x14ac:dyDescent="0.2">
      <c r="A8" t="s">
        <v>26</v>
      </c>
      <c r="C8" s="7"/>
      <c r="D8" s="7"/>
      <c r="E8" s="7"/>
      <c r="F8" s="7"/>
    </row>
    <row r="9" spans="1:9" x14ac:dyDescent="0.2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9" x14ac:dyDescent="0.2">
      <c r="A10" t="s">
        <v>35</v>
      </c>
      <c r="B10" s="10">
        <v>6</v>
      </c>
      <c r="C10" s="7">
        <v>1565.91</v>
      </c>
      <c r="D10" s="7"/>
      <c r="E10" s="7">
        <f t="shared" ref="E10:E12" si="0">+ROUND((C10+D10)/B10,2)</f>
        <v>260.99</v>
      </c>
      <c r="F10" s="7">
        <f t="shared" ref="F10:F12" si="1">+C10+D10-E10</f>
        <v>1304.92</v>
      </c>
      <c r="G10" s="10">
        <v>5</v>
      </c>
      <c r="I10" s="16"/>
    </row>
    <row r="11" spans="1:9" x14ac:dyDescent="0.2">
      <c r="A11" t="s">
        <v>36</v>
      </c>
      <c r="B11" s="10">
        <v>6</v>
      </c>
      <c r="C11" s="7">
        <v>236.37</v>
      </c>
      <c r="D11" s="7"/>
      <c r="E11" s="7">
        <f t="shared" si="0"/>
        <v>39.4</v>
      </c>
      <c r="F11" s="7">
        <f t="shared" si="1"/>
        <v>196.97</v>
      </c>
      <c r="G11" s="10">
        <v>5</v>
      </c>
      <c r="I11" s="16"/>
    </row>
    <row r="12" spans="1:9" x14ac:dyDescent="0.2">
      <c r="A12" t="s">
        <v>39</v>
      </c>
      <c r="B12" s="10">
        <v>7</v>
      </c>
      <c r="C12" s="7">
        <v>567.57000000000005</v>
      </c>
      <c r="D12" s="7"/>
      <c r="E12" s="7">
        <f t="shared" si="0"/>
        <v>81.08</v>
      </c>
      <c r="F12" s="7">
        <f t="shared" si="1"/>
        <v>486.49000000000007</v>
      </c>
      <c r="G12" s="10">
        <v>6</v>
      </c>
      <c r="I12" s="16"/>
    </row>
    <row r="13" spans="1:9" x14ac:dyDescent="0.2">
      <c r="C13" s="7"/>
      <c r="D13" s="7"/>
      <c r="E13" s="7"/>
      <c r="F13" s="7"/>
    </row>
    <row r="14" spans="1:9" ht="16" thickBot="1" x14ac:dyDescent="0.25">
      <c r="C14" s="11">
        <f>SUM(C6:C13)</f>
        <v>2369.8500000000004</v>
      </c>
      <c r="D14" s="11">
        <f>SUM(D6:D13)</f>
        <v>0</v>
      </c>
      <c r="E14" s="11">
        <f>SUM(E6:E13)</f>
        <v>381.46999999999997</v>
      </c>
      <c r="F14" s="11">
        <f>SUM(F6:F13)</f>
        <v>1988.38</v>
      </c>
    </row>
    <row r="15" spans="1:9" x14ac:dyDescent="0.2">
      <c r="A15" s="8" t="s">
        <v>17</v>
      </c>
      <c r="C15" s="7"/>
      <c r="D15" s="7"/>
      <c r="E15" s="7"/>
      <c r="F15" s="7"/>
    </row>
    <row r="16" spans="1:9" s="3" customFormat="1" x14ac:dyDescent="0.2">
      <c r="A16" t="s">
        <v>45</v>
      </c>
      <c r="C16" s="7">
        <v>250</v>
      </c>
      <c r="D16" s="7"/>
      <c r="E16" s="7">
        <v>250</v>
      </c>
      <c r="F16" s="7">
        <f>C16+D16-E16</f>
        <v>0</v>
      </c>
      <c r="H16"/>
    </row>
    <row r="17" spans="1:9" s="3" customFormat="1" x14ac:dyDescent="0.2">
      <c r="A17" t="s">
        <v>30</v>
      </c>
      <c r="C17" s="7">
        <v>5000</v>
      </c>
      <c r="D17" s="7"/>
      <c r="E17" s="7"/>
      <c r="F17" s="7">
        <f t="shared" ref="F17:F22" si="2">C17+D17-E17</f>
        <v>5000</v>
      </c>
      <c r="H17"/>
    </row>
    <row r="18" spans="1:9" s="3" customFormat="1" x14ac:dyDescent="0.2">
      <c r="A18" t="s">
        <v>43</v>
      </c>
      <c r="C18" s="7">
        <v>1007.57</v>
      </c>
      <c r="D18" s="7"/>
      <c r="E18" s="7"/>
      <c r="F18" s="7">
        <f t="shared" si="2"/>
        <v>1007.57</v>
      </c>
      <c r="H18"/>
    </row>
    <row r="19" spans="1:9" s="3" customFormat="1" x14ac:dyDescent="0.2">
      <c r="A19" t="s">
        <v>37</v>
      </c>
      <c r="C19" s="7">
        <v>81.99</v>
      </c>
      <c r="D19" s="7"/>
      <c r="E19" s="7"/>
      <c r="F19" s="7">
        <f t="shared" si="2"/>
        <v>81.99</v>
      </c>
      <c r="H19"/>
    </row>
    <row r="20" spans="1:9" s="3" customFormat="1" x14ac:dyDescent="0.2">
      <c r="A20" t="s">
        <v>47</v>
      </c>
      <c r="C20" s="7"/>
      <c r="D20" s="7">
        <v>2500</v>
      </c>
      <c r="E20" s="7"/>
      <c r="F20" s="7">
        <f t="shared" si="2"/>
        <v>2500</v>
      </c>
      <c r="H20"/>
    </row>
    <row r="21" spans="1:9" s="3" customFormat="1" x14ac:dyDescent="0.2">
      <c r="A21" t="s">
        <v>44</v>
      </c>
      <c r="C21" s="7">
        <v>12690.03</v>
      </c>
      <c r="D21" s="7"/>
      <c r="E21" s="7">
        <v>12690.03</v>
      </c>
      <c r="F21" s="7">
        <f t="shared" si="2"/>
        <v>0</v>
      </c>
      <c r="H21"/>
    </row>
    <row r="22" spans="1:9" s="3" customFormat="1" x14ac:dyDescent="0.2">
      <c r="A22" t="s">
        <v>46</v>
      </c>
      <c r="C22" s="7">
        <v>4726.3</v>
      </c>
      <c r="D22" s="7"/>
      <c r="E22" s="7">
        <v>4726.3</v>
      </c>
      <c r="F22" s="7">
        <f t="shared" si="2"/>
        <v>0</v>
      </c>
      <c r="H22"/>
      <c r="I22" s="7"/>
    </row>
    <row r="23" spans="1:9" s="3" customFormat="1" ht="16" thickBot="1" x14ac:dyDescent="0.25">
      <c r="A23"/>
      <c r="C23" s="13">
        <f>SUM(C14:C22)</f>
        <v>26125.74</v>
      </c>
      <c r="D23" s="13">
        <f>SUM(D16:D22)</f>
        <v>2500</v>
      </c>
      <c r="E23" s="13">
        <f>SUM(E16:E22)</f>
        <v>17666.330000000002</v>
      </c>
      <c r="F23" s="13">
        <f>SUM(F14:F22)</f>
        <v>10577.939999999999</v>
      </c>
      <c r="H23"/>
    </row>
    <row r="24" spans="1:9" s="3" customFormat="1" ht="16" thickTop="1" x14ac:dyDescent="0.2">
      <c r="A24"/>
      <c r="C24" s="12"/>
      <c r="D24" s="7"/>
      <c r="E24" s="7"/>
      <c r="F24" s="7"/>
      <c r="H24"/>
    </row>
    <row r="25" spans="1:9" s="3" customFormat="1" x14ac:dyDescent="0.2">
      <c r="A25"/>
      <c r="C25" s="7"/>
      <c r="D25" s="7"/>
      <c r="E25" s="7"/>
      <c r="F25" s="7"/>
      <c r="H25"/>
    </row>
    <row r="26" spans="1:9" s="3" customFormat="1" x14ac:dyDescent="0.2">
      <c r="A26"/>
      <c r="C26" s="7"/>
      <c r="D26" s="7"/>
      <c r="E26" s="7"/>
      <c r="F26" s="7"/>
      <c r="H26"/>
    </row>
    <row r="27" spans="1:9" s="3" customFormat="1" x14ac:dyDescent="0.2">
      <c r="A27"/>
      <c r="C27" s="7"/>
      <c r="D27" s="7"/>
      <c r="E27" s="7"/>
      <c r="F27" s="7"/>
      <c r="H27"/>
    </row>
    <row r="28" spans="1:9" s="3" customFormat="1" x14ac:dyDescent="0.2">
      <c r="A28"/>
      <c r="C28" s="7"/>
      <c r="D28" s="7"/>
      <c r="E28" s="7"/>
      <c r="F28" s="7"/>
      <c r="H28"/>
    </row>
    <row r="29" spans="1:9" s="3" customFormat="1" x14ac:dyDescent="0.2">
      <c r="A29"/>
      <c r="C29" s="7"/>
      <c r="D29" s="7"/>
      <c r="E29" s="7"/>
      <c r="F29" s="7"/>
      <c r="H29"/>
    </row>
    <row r="33" spans="1:8" s="3" customFormat="1" x14ac:dyDescent="0.2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1DCAE-BF16-46AA-96AC-9AAF57C90078}">
  <dimension ref="A1:I32"/>
  <sheetViews>
    <sheetView workbookViewId="0">
      <selection activeCell="A25" sqref="A25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43769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40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8" x14ac:dyDescent="0.2">
      <c r="A10" t="s">
        <v>35</v>
      </c>
      <c r="B10" s="10">
        <v>7</v>
      </c>
      <c r="C10" s="7">
        <v>1826.8900000000006</v>
      </c>
      <c r="D10" s="7"/>
      <c r="E10" s="7">
        <f t="shared" ref="E10:E12" si="0">+ROUND((C10+D10)/B10,2)</f>
        <v>260.98</v>
      </c>
      <c r="F10" s="7">
        <f t="shared" ref="F10:F12" si="1">+C10+D10-E10</f>
        <v>1565.9100000000005</v>
      </c>
      <c r="G10" s="10">
        <v>6</v>
      </c>
    </row>
    <row r="11" spans="1:8" x14ac:dyDescent="0.2">
      <c r="A11" t="s">
        <v>36</v>
      </c>
      <c r="B11" s="10">
        <v>7</v>
      </c>
      <c r="C11" s="7">
        <v>275.7600000000001</v>
      </c>
      <c r="D11" s="7"/>
      <c r="E11" s="7">
        <f t="shared" si="0"/>
        <v>39.39</v>
      </c>
      <c r="F11" s="7">
        <f t="shared" si="1"/>
        <v>236.37000000000012</v>
      </c>
      <c r="G11" s="10">
        <v>6</v>
      </c>
    </row>
    <row r="12" spans="1:8" x14ac:dyDescent="0.2">
      <c r="A12" t="s">
        <v>39</v>
      </c>
      <c r="B12" s="10">
        <v>8</v>
      </c>
      <c r="C12" s="7">
        <v>648.64999999999986</v>
      </c>
      <c r="D12" s="7"/>
      <c r="E12" s="7">
        <f t="shared" si="0"/>
        <v>81.08</v>
      </c>
      <c r="F12" s="7">
        <f t="shared" si="1"/>
        <v>567.56999999999982</v>
      </c>
      <c r="G12" s="10">
        <v>7</v>
      </c>
    </row>
    <row r="13" spans="1:8" x14ac:dyDescent="0.2">
      <c r="C13" s="7"/>
      <c r="D13" s="7"/>
      <c r="E13" s="7"/>
      <c r="F13" s="7"/>
    </row>
    <row r="14" spans="1:8" ht="16" thickBot="1" x14ac:dyDescent="0.25">
      <c r="C14" s="11">
        <f>SUM(C6:C13)</f>
        <v>2751.3</v>
      </c>
      <c r="D14" s="11">
        <f>SUM(D6:D13)</f>
        <v>0</v>
      </c>
      <c r="E14" s="11">
        <f>SUM(E6:E13)</f>
        <v>381.45</v>
      </c>
      <c r="F14" s="11">
        <f>SUM(F6:F13)</f>
        <v>2369.8500000000004</v>
      </c>
    </row>
    <row r="15" spans="1:8" x14ac:dyDescent="0.2">
      <c r="A15" s="8" t="s">
        <v>17</v>
      </c>
      <c r="C15" s="7"/>
      <c r="D15" s="7"/>
      <c r="E15" s="7"/>
      <c r="F15" s="7"/>
    </row>
    <row r="16" spans="1:8" s="3" customFormat="1" x14ac:dyDescent="0.2">
      <c r="A16" t="s">
        <v>42</v>
      </c>
      <c r="C16" s="7"/>
      <c r="D16" s="7"/>
      <c r="E16" s="7"/>
      <c r="F16" s="7">
        <v>250</v>
      </c>
      <c r="H16"/>
    </row>
    <row r="17" spans="1:9" s="3" customFormat="1" x14ac:dyDescent="0.2">
      <c r="A17" t="s">
        <v>30</v>
      </c>
      <c r="C17" s="7"/>
      <c r="D17" s="7"/>
      <c r="E17" s="7"/>
      <c r="F17" s="7">
        <v>5000</v>
      </c>
      <c r="H17"/>
    </row>
    <row r="18" spans="1:9" s="3" customFormat="1" x14ac:dyDescent="0.2">
      <c r="A18" t="s">
        <v>43</v>
      </c>
      <c r="C18" s="7"/>
      <c r="D18" s="7"/>
      <c r="E18" s="7"/>
      <c r="F18" s="7">
        <v>1007.57</v>
      </c>
      <c r="H18"/>
    </row>
    <row r="19" spans="1:9" s="3" customFormat="1" x14ac:dyDescent="0.2">
      <c r="A19" t="s">
        <v>37</v>
      </c>
      <c r="C19" s="7"/>
      <c r="D19" s="7"/>
      <c r="E19" s="7"/>
      <c r="F19" s="7">
        <v>81.99</v>
      </c>
      <c r="H19"/>
    </row>
    <row r="20" spans="1:9" s="3" customFormat="1" x14ac:dyDescent="0.2">
      <c r="A20" t="s">
        <v>44</v>
      </c>
      <c r="C20" s="7"/>
      <c r="D20" s="7"/>
      <c r="E20" s="7"/>
      <c r="F20" s="7">
        <v>12690.03</v>
      </c>
      <c r="H20"/>
    </row>
    <row r="21" spans="1:9" s="3" customFormat="1" x14ac:dyDescent="0.2">
      <c r="A21" t="s">
        <v>38</v>
      </c>
      <c r="C21" s="7"/>
      <c r="D21" s="7"/>
      <c r="E21" s="7"/>
      <c r="F21" s="7">
        <f>906+1812-2718+4726.3</f>
        <v>4726.3</v>
      </c>
      <c r="H21"/>
      <c r="I21" s="7"/>
    </row>
    <row r="22" spans="1:9" s="3" customFormat="1" ht="16" thickBot="1" x14ac:dyDescent="0.25">
      <c r="A22"/>
      <c r="C22" s="12"/>
      <c r="D22" s="7"/>
      <c r="E22" s="13">
        <f>SUM(E16:E17)</f>
        <v>0</v>
      </c>
      <c r="F22" s="13">
        <f>SUM(F14:F21)</f>
        <v>26125.74</v>
      </c>
      <c r="H22"/>
    </row>
    <row r="23" spans="1:9" s="3" customFormat="1" ht="16" thickTop="1" x14ac:dyDescent="0.2">
      <c r="A23"/>
      <c r="C23" s="12"/>
      <c r="D23" s="7"/>
      <c r="E23" s="7"/>
      <c r="F23" s="7"/>
      <c r="H23"/>
    </row>
    <row r="24" spans="1:9" s="3" customFormat="1" x14ac:dyDescent="0.2">
      <c r="A24"/>
      <c r="C24" s="7"/>
      <c r="D24" s="7"/>
      <c r="E24" s="7"/>
      <c r="F24" s="7"/>
      <c r="H24"/>
    </row>
    <row r="25" spans="1:9" s="3" customFormat="1" x14ac:dyDescent="0.2">
      <c r="A25"/>
      <c r="C25" s="7"/>
      <c r="D25" s="7"/>
      <c r="E25" s="7"/>
      <c r="F25" s="7"/>
      <c r="H25"/>
    </row>
    <row r="26" spans="1:9" s="3" customFormat="1" x14ac:dyDescent="0.2">
      <c r="A26"/>
      <c r="C26" s="7"/>
      <c r="D26" s="7"/>
      <c r="E26" s="7"/>
      <c r="F26" s="7"/>
      <c r="H26"/>
    </row>
    <row r="27" spans="1:9" s="3" customFormat="1" x14ac:dyDescent="0.2">
      <c r="A27"/>
      <c r="C27" s="7"/>
      <c r="D27" s="7"/>
      <c r="E27" s="7"/>
      <c r="F27" s="7"/>
      <c r="H27"/>
    </row>
    <row r="28" spans="1:9" s="3" customFormat="1" x14ac:dyDescent="0.2">
      <c r="A28"/>
      <c r="C28" s="7"/>
      <c r="D28" s="7"/>
      <c r="E28" s="7"/>
      <c r="F28" s="7"/>
      <c r="H28"/>
    </row>
    <row r="32" spans="1:9" s="3" customFormat="1" x14ac:dyDescent="0.2">
      <c r="A32"/>
      <c r="C32"/>
      <c r="D32"/>
      <c r="E32"/>
      <c r="F32"/>
      <c r="H32"/>
    </row>
  </sheetData>
  <pageMargins left="1" right="1" top="1" bottom="1" header="0.5" footer="0.5"/>
  <pageSetup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6DFC-8525-4D96-A827-796ACD9D8B37}">
  <dimension ref="A1:I31"/>
  <sheetViews>
    <sheetView workbookViewId="0">
      <selection activeCell="F21" sqref="F21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43738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40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8" x14ac:dyDescent="0.2">
      <c r="A10" t="s">
        <v>35</v>
      </c>
      <c r="B10" s="10">
        <v>8</v>
      </c>
      <c r="C10" s="7">
        <v>2087.8800000000006</v>
      </c>
      <c r="D10" s="7"/>
      <c r="E10" s="7">
        <f t="shared" ref="E10:E12" si="0">+ROUND((C10+D10)/B10,2)</f>
        <v>260.99</v>
      </c>
      <c r="F10" s="7">
        <f t="shared" ref="F10:F12" si="1">+C10+D10-E10</f>
        <v>1826.8900000000006</v>
      </c>
      <c r="G10" s="10">
        <v>7</v>
      </c>
    </row>
    <row r="11" spans="1:8" x14ac:dyDescent="0.2">
      <c r="A11" t="s">
        <v>36</v>
      </c>
      <c r="B11" s="10">
        <v>8</v>
      </c>
      <c r="C11" s="7">
        <v>315.16000000000008</v>
      </c>
      <c r="D11" s="7"/>
      <c r="E11" s="7">
        <f t="shared" si="0"/>
        <v>39.4</v>
      </c>
      <c r="F11" s="7">
        <f t="shared" si="1"/>
        <v>275.7600000000001</v>
      </c>
      <c r="G11" s="10">
        <v>7</v>
      </c>
    </row>
    <row r="12" spans="1:8" x14ac:dyDescent="0.2">
      <c r="A12" t="s">
        <v>39</v>
      </c>
      <c r="B12" s="10">
        <v>9</v>
      </c>
      <c r="C12" s="7">
        <v>729.7299999999999</v>
      </c>
      <c r="D12" s="7"/>
      <c r="E12" s="7">
        <f t="shared" si="0"/>
        <v>81.08</v>
      </c>
      <c r="F12" s="7">
        <f t="shared" si="1"/>
        <v>648.64999999999986</v>
      </c>
      <c r="G12" s="10">
        <v>8</v>
      </c>
    </row>
    <row r="13" spans="1:8" x14ac:dyDescent="0.2">
      <c r="C13" s="7"/>
      <c r="D13" s="7"/>
      <c r="E13" s="7"/>
      <c r="F13" s="7"/>
    </row>
    <row r="14" spans="1:8" ht="16" thickBot="1" x14ac:dyDescent="0.25">
      <c r="C14" s="11">
        <f>SUM(C6:C13)</f>
        <v>3132.7700000000009</v>
      </c>
      <c r="D14" s="11">
        <f>SUM(D6:D13)</f>
        <v>0</v>
      </c>
      <c r="E14" s="11">
        <f>SUM(E6:E13)</f>
        <v>381.46999999999997</v>
      </c>
      <c r="F14" s="11">
        <f>SUM(F6:F13)</f>
        <v>2751.3</v>
      </c>
    </row>
    <row r="15" spans="1:8" x14ac:dyDescent="0.2">
      <c r="A15" s="8" t="s">
        <v>17</v>
      </c>
      <c r="C15" s="7"/>
      <c r="D15" s="7"/>
      <c r="E15" s="7"/>
      <c r="F15" s="7"/>
    </row>
    <row r="16" spans="1:8" s="3" customFormat="1" x14ac:dyDescent="0.2">
      <c r="A16" t="s">
        <v>42</v>
      </c>
      <c r="C16" s="7"/>
      <c r="D16" s="7"/>
      <c r="E16" s="7"/>
      <c r="F16" s="7">
        <v>250</v>
      </c>
      <c r="H16"/>
    </row>
    <row r="17" spans="1:9" s="3" customFormat="1" x14ac:dyDescent="0.2">
      <c r="A17" t="s">
        <v>30</v>
      </c>
      <c r="C17" s="7"/>
      <c r="D17" s="7"/>
      <c r="E17" s="7"/>
      <c r="F17" s="7">
        <v>5000</v>
      </c>
      <c r="H17"/>
    </row>
    <row r="18" spans="1:9" s="3" customFormat="1" x14ac:dyDescent="0.2">
      <c r="A18" t="s">
        <v>43</v>
      </c>
      <c r="C18" s="7"/>
      <c r="D18" s="7"/>
      <c r="E18" s="7"/>
      <c r="F18" s="7">
        <v>1007.57</v>
      </c>
      <c r="H18"/>
    </row>
    <row r="19" spans="1:9" s="3" customFormat="1" x14ac:dyDescent="0.2">
      <c r="A19" t="s">
        <v>37</v>
      </c>
      <c r="C19" s="7"/>
      <c r="D19" s="7"/>
      <c r="E19" s="7"/>
      <c r="F19" s="7">
        <v>81.99</v>
      </c>
      <c r="H19"/>
    </row>
    <row r="20" spans="1:9" s="3" customFormat="1" x14ac:dyDescent="0.2">
      <c r="A20" t="s">
        <v>38</v>
      </c>
      <c r="C20" s="7"/>
      <c r="D20" s="7"/>
      <c r="E20" s="7"/>
      <c r="F20" s="7">
        <f>906+1812</f>
        <v>2718</v>
      </c>
      <c r="H20"/>
      <c r="I20" s="7"/>
    </row>
    <row r="21" spans="1:9" s="3" customFormat="1" ht="16" thickBot="1" x14ac:dyDescent="0.25">
      <c r="A21"/>
      <c r="C21" s="12"/>
      <c r="D21" s="7"/>
      <c r="E21" s="13">
        <f>SUM(E16:E17)</f>
        <v>0</v>
      </c>
      <c r="F21" s="13">
        <f>SUM(F14:F20)</f>
        <v>11808.86</v>
      </c>
      <c r="H21"/>
    </row>
    <row r="22" spans="1:9" s="3" customFormat="1" ht="16" thickTop="1" x14ac:dyDescent="0.2">
      <c r="A22"/>
      <c r="C22" s="12"/>
      <c r="D22" s="7"/>
      <c r="E22" s="7"/>
      <c r="F22" s="7"/>
      <c r="H22"/>
    </row>
    <row r="23" spans="1:9" s="3" customFormat="1" x14ac:dyDescent="0.2">
      <c r="A23"/>
      <c r="C23" s="7"/>
      <c r="D23" s="7"/>
      <c r="E23" s="7"/>
      <c r="F23" s="7"/>
      <c r="H23"/>
    </row>
    <row r="24" spans="1:9" s="3" customFormat="1" x14ac:dyDescent="0.2">
      <c r="A24"/>
      <c r="C24" s="7"/>
      <c r="D24" s="7"/>
      <c r="E24" s="7"/>
      <c r="F24" s="7"/>
      <c r="H24"/>
    </row>
    <row r="25" spans="1:9" s="3" customFormat="1" x14ac:dyDescent="0.2">
      <c r="A25"/>
      <c r="C25" s="7"/>
      <c r="D25" s="7"/>
      <c r="E25" s="7"/>
      <c r="F25" s="7"/>
      <c r="H25"/>
    </row>
    <row r="26" spans="1:9" s="3" customFormat="1" x14ac:dyDescent="0.2">
      <c r="A26"/>
      <c r="C26" s="7"/>
      <c r="D26" s="7"/>
      <c r="E26" s="7"/>
      <c r="F26" s="7"/>
      <c r="H26"/>
    </row>
    <row r="27" spans="1:9" s="3" customFormat="1" x14ac:dyDescent="0.2">
      <c r="A27"/>
      <c r="C27" s="7"/>
      <c r="D27" s="7"/>
      <c r="E27" s="7"/>
      <c r="F27" s="7"/>
      <c r="H27"/>
    </row>
    <row r="31" spans="1:9" s="3" customFormat="1" x14ac:dyDescent="0.2">
      <c r="A31"/>
      <c r="C31"/>
      <c r="D31"/>
      <c r="E31"/>
      <c r="F31"/>
      <c r="H31"/>
    </row>
  </sheetData>
  <pageMargins left="1" right="1" top="1" bottom="1" header="0.5" footer="0.5"/>
  <pageSetup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987F-5E0F-4FBB-8191-1996E5B3D35E}">
  <dimension ref="A1:I30"/>
  <sheetViews>
    <sheetView workbookViewId="0">
      <selection activeCell="F20" sqref="F20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43708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40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8" x14ac:dyDescent="0.2">
      <c r="A10" t="s">
        <v>35</v>
      </c>
      <c r="B10" s="10">
        <v>9</v>
      </c>
      <c r="C10" s="7">
        <v>2348.8600000000006</v>
      </c>
      <c r="D10" s="7"/>
      <c r="E10" s="7">
        <f t="shared" ref="E10:E12" si="0">+ROUND((C10+D10)/B10,2)</f>
        <v>260.98</v>
      </c>
      <c r="F10" s="7">
        <f t="shared" ref="F10:F12" si="1">+C10+D10-E10</f>
        <v>2087.8800000000006</v>
      </c>
      <c r="G10" s="10">
        <v>8</v>
      </c>
    </row>
    <row r="11" spans="1:8" x14ac:dyDescent="0.2">
      <c r="A11" t="s">
        <v>36</v>
      </c>
      <c r="B11" s="10">
        <v>9</v>
      </c>
      <c r="C11" s="7">
        <v>354.55000000000007</v>
      </c>
      <c r="D11" s="7"/>
      <c r="E11" s="7">
        <f t="shared" si="0"/>
        <v>39.39</v>
      </c>
      <c r="F11" s="7">
        <f t="shared" si="1"/>
        <v>315.16000000000008</v>
      </c>
      <c r="G11" s="10">
        <v>8</v>
      </c>
    </row>
    <row r="12" spans="1:8" x14ac:dyDescent="0.2">
      <c r="A12" t="s">
        <v>39</v>
      </c>
      <c r="B12" s="10">
        <v>10</v>
      </c>
      <c r="C12" s="7">
        <v>810.81</v>
      </c>
      <c r="D12" s="7"/>
      <c r="E12" s="7">
        <f t="shared" si="0"/>
        <v>81.08</v>
      </c>
      <c r="F12" s="7">
        <f t="shared" si="1"/>
        <v>729.7299999999999</v>
      </c>
      <c r="G12" s="10">
        <v>9</v>
      </c>
    </row>
    <row r="13" spans="1:8" x14ac:dyDescent="0.2">
      <c r="C13" s="7"/>
      <c r="D13" s="7"/>
      <c r="E13" s="7"/>
      <c r="F13" s="7"/>
    </row>
    <row r="14" spans="1:8" ht="16" thickBot="1" x14ac:dyDescent="0.25">
      <c r="C14" s="11">
        <f>SUM(C6:C13)</f>
        <v>3514.2200000000007</v>
      </c>
      <c r="D14" s="11">
        <f>SUM(D6:D13)</f>
        <v>0</v>
      </c>
      <c r="E14" s="11">
        <f>SUM(E6:E13)</f>
        <v>381.45</v>
      </c>
      <c r="F14" s="11">
        <f>SUM(F6:F13)</f>
        <v>3132.7700000000009</v>
      </c>
    </row>
    <row r="15" spans="1:8" x14ac:dyDescent="0.2">
      <c r="A15" s="8" t="s">
        <v>17</v>
      </c>
      <c r="C15" s="7"/>
      <c r="D15" s="7"/>
      <c r="E15" s="7"/>
      <c r="F15" s="7"/>
    </row>
    <row r="16" spans="1:8" s="3" customFormat="1" x14ac:dyDescent="0.2">
      <c r="A16" t="s">
        <v>41</v>
      </c>
      <c r="C16" s="7">
        <v>20654.25</v>
      </c>
      <c r="D16" s="7"/>
      <c r="E16" s="7">
        <v>20654.25</v>
      </c>
      <c r="F16" s="7">
        <v>0</v>
      </c>
      <c r="H16"/>
    </row>
    <row r="17" spans="1:9" s="3" customFormat="1" x14ac:dyDescent="0.2">
      <c r="A17" t="s">
        <v>30</v>
      </c>
      <c r="C17" s="7"/>
      <c r="D17" s="7"/>
      <c r="E17" s="7"/>
      <c r="F17" s="7">
        <v>5000</v>
      </c>
      <c r="H17"/>
    </row>
    <row r="18" spans="1:9" s="3" customFormat="1" x14ac:dyDescent="0.2">
      <c r="A18" t="s">
        <v>37</v>
      </c>
      <c r="C18" s="7"/>
      <c r="D18" s="7"/>
      <c r="E18" s="7"/>
      <c r="F18" s="7">
        <v>81.99</v>
      </c>
      <c r="H18"/>
    </row>
    <row r="19" spans="1:9" s="3" customFormat="1" x14ac:dyDescent="0.2">
      <c r="A19" t="s">
        <v>38</v>
      </c>
      <c r="C19" s="7"/>
      <c r="D19" s="7"/>
      <c r="E19" s="7"/>
      <c r="F19" s="7">
        <f>906+1812</f>
        <v>2718</v>
      </c>
      <c r="H19"/>
      <c r="I19" s="7"/>
    </row>
    <row r="20" spans="1:9" s="3" customFormat="1" ht="16" thickBot="1" x14ac:dyDescent="0.25">
      <c r="A20"/>
      <c r="C20" s="12"/>
      <c r="D20" s="7"/>
      <c r="E20" s="13">
        <f>SUM(E16:E17)</f>
        <v>20654.25</v>
      </c>
      <c r="F20" s="13">
        <f>SUM(F14:F19)</f>
        <v>10932.76</v>
      </c>
      <c r="H20"/>
    </row>
    <row r="21" spans="1:9" s="3" customFormat="1" ht="16" thickTop="1" x14ac:dyDescent="0.2">
      <c r="A21"/>
      <c r="C21" s="12"/>
      <c r="D21" s="7"/>
      <c r="E21" s="7"/>
      <c r="F21" s="7"/>
      <c r="H21"/>
    </row>
    <row r="22" spans="1:9" s="3" customFormat="1" x14ac:dyDescent="0.2">
      <c r="A22"/>
      <c r="C22" s="7"/>
      <c r="D22" s="7"/>
      <c r="E22" s="7"/>
      <c r="F22" s="7"/>
      <c r="H22"/>
    </row>
    <row r="23" spans="1:9" s="3" customFormat="1" x14ac:dyDescent="0.2">
      <c r="A23"/>
      <c r="C23" s="7"/>
      <c r="D23" s="7"/>
      <c r="E23" s="7"/>
      <c r="F23" s="7"/>
      <c r="H23"/>
    </row>
    <row r="24" spans="1:9" s="3" customFormat="1" x14ac:dyDescent="0.2">
      <c r="A24"/>
      <c r="C24" s="7"/>
      <c r="D24" s="7"/>
      <c r="E24" s="7"/>
      <c r="F24" s="7"/>
      <c r="H24"/>
    </row>
    <row r="25" spans="1:9" s="3" customFormat="1" x14ac:dyDescent="0.2">
      <c r="A25"/>
      <c r="C25" s="7"/>
      <c r="D25" s="7"/>
      <c r="E25" s="7"/>
      <c r="F25" s="7"/>
      <c r="H25"/>
    </row>
    <row r="26" spans="1:9" s="3" customFormat="1" x14ac:dyDescent="0.2">
      <c r="A26"/>
      <c r="C26" s="7"/>
      <c r="D26" s="7"/>
      <c r="E26" s="7"/>
      <c r="F26" s="7"/>
      <c r="H26"/>
    </row>
    <row r="30" spans="1:9" s="3" customFormat="1" x14ac:dyDescent="0.2">
      <c r="A30"/>
      <c r="C30"/>
      <c r="D30"/>
      <c r="E30"/>
      <c r="F30"/>
      <c r="H30"/>
    </row>
  </sheetData>
  <pageMargins left="1" right="1" top="1" bottom="1" header="0.5" footer="0.5"/>
  <pageSetup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A6824-6FB1-45F3-9C88-52D3643DCD69}">
  <dimension ref="A1:I30"/>
  <sheetViews>
    <sheetView workbookViewId="0">
      <selection activeCell="F20" sqref="F20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43677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8" x14ac:dyDescent="0.2">
      <c r="A10" t="s">
        <v>35</v>
      </c>
      <c r="B10" s="3">
        <v>10</v>
      </c>
      <c r="C10" s="7">
        <v>2609.8500000000004</v>
      </c>
      <c r="D10" s="7"/>
      <c r="E10" s="7">
        <f t="shared" ref="E10:E12" si="0">+ROUND((C10+D10)/B10,2)</f>
        <v>260.99</v>
      </c>
      <c r="F10" s="7">
        <f t="shared" ref="F10:F12" si="1">+C10+D10-E10</f>
        <v>2348.8600000000006</v>
      </c>
      <c r="G10" s="10">
        <v>9</v>
      </c>
    </row>
    <row r="11" spans="1:8" x14ac:dyDescent="0.2">
      <c r="A11" t="s">
        <v>36</v>
      </c>
      <c r="B11" s="3">
        <v>10</v>
      </c>
      <c r="C11" s="7">
        <v>393.95000000000005</v>
      </c>
      <c r="D11" s="7"/>
      <c r="E11" s="7">
        <f t="shared" si="0"/>
        <v>39.4</v>
      </c>
      <c r="F11" s="7">
        <f t="shared" si="1"/>
        <v>354.55000000000007</v>
      </c>
      <c r="G11" s="10">
        <v>9</v>
      </c>
    </row>
    <row r="12" spans="1:8" x14ac:dyDescent="0.2">
      <c r="A12" t="s">
        <v>39</v>
      </c>
      <c r="B12" s="3">
        <v>11</v>
      </c>
      <c r="C12" s="7">
        <v>891.89</v>
      </c>
      <c r="D12" s="7"/>
      <c r="E12" s="7">
        <f t="shared" si="0"/>
        <v>81.08</v>
      </c>
      <c r="F12" s="7">
        <f t="shared" si="1"/>
        <v>810.81</v>
      </c>
      <c r="G12" s="10">
        <v>10</v>
      </c>
    </row>
    <row r="13" spans="1:8" x14ac:dyDescent="0.2">
      <c r="C13" s="7"/>
      <c r="D13" s="7"/>
      <c r="E13" s="7"/>
      <c r="F13" s="7"/>
    </row>
    <row r="14" spans="1:8" ht="16" thickBot="1" x14ac:dyDescent="0.25">
      <c r="C14" s="11">
        <f>SUM(C6:C13)</f>
        <v>3895.69</v>
      </c>
      <c r="D14" s="11">
        <f>SUM(D6:D13)</f>
        <v>0</v>
      </c>
      <c r="E14" s="11">
        <f>SUM(E6:E13)</f>
        <v>381.46999999999997</v>
      </c>
      <c r="F14" s="11">
        <f>SUM(F6:F13)</f>
        <v>3514.2200000000007</v>
      </c>
    </row>
    <row r="15" spans="1:8" x14ac:dyDescent="0.2">
      <c r="A15" s="8" t="s">
        <v>17</v>
      </c>
      <c r="C15" s="7"/>
      <c r="D15" s="7"/>
      <c r="E15" s="7"/>
      <c r="F15" s="7"/>
    </row>
    <row r="16" spans="1:8" s="3" customFormat="1" x14ac:dyDescent="0.2">
      <c r="A16" t="s">
        <v>41</v>
      </c>
      <c r="C16" s="7">
        <v>20654.25</v>
      </c>
      <c r="D16" s="7"/>
      <c r="E16" s="7">
        <v>0</v>
      </c>
      <c r="F16" s="7">
        <v>20654.25</v>
      </c>
      <c r="H16"/>
    </row>
    <row r="17" spans="1:9" s="3" customFormat="1" x14ac:dyDescent="0.2">
      <c r="A17" t="s">
        <v>30</v>
      </c>
      <c r="C17" s="7"/>
      <c r="D17" s="7"/>
      <c r="E17" s="7"/>
      <c r="F17" s="7">
        <v>5000</v>
      </c>
      <c r="H17"/>
    </row>
    <row r="18" spans="1:9" s="3" customFormat="1" x14ac:dyDescent="0.2">
      <c r="A18" t="s">
        <v>37</v>
      </c>
      <c r="C18" s="7"/>
      <c r="D18" s="7"/>
      <c r="E18" s="7"/>
      <c r="F18" s="7">
        <v>81.99</v>
      </c>
      <c r="H18"/>
    </row>
    <row r="19" spans="1:9" s="3" customFormat="1" x14ac:dyDescent="0.2">
      <c r="A19" t="s">
        <v>38</v>
      </c>
      <c r="C19" s="7"/>
      <c r="D19" s="7"/>
      <c r="E19" s="7"/>
      <c r="F19" s="7">
        <f>906+1812</f>
        <v>2718</v>
      </c>
      <c r="H19"/>
      <c r="I19" s="7"/>
    </row>
    <row r="20" spans="1:9" s="3" customFormat="1" ht="16" thickBot="1" x14ac:dyDescent="0.25">
      <c r="A20"/>
      <c r="C20" s="12"/>
      <c r="D20" s="7"/>
      <c r="E20" s="13">
        <f>SUM(E16:E17)</f>
        <v>0</v>
      </c>
      <c r="F20" s="13">
        <f>SUM(F14:F19)</f>
        <v>31968.460000000003</v>
      </c>
      <c r="H20"/>
    </row>
    <row r="21" spans="1:9" s="3" customFormat="1" ht="16" thickTop="1" x14ac:dyDescent="0.2">
      <c r="A21"/>
      <c r="C21" s="12"/>
      <c r="D21" s="7"/>
      <c r="E21" s="7"/>
      <c r="F21" s="7"/>
      <c r="H21"/>
    </row>
    <row r="22" spans="1:9" s="3" customFormat="1" x14ac:dyDescent="0.2">
      <c r="A22"/>
      <c r="C22" s="7"/>
      <c r="D22" s="7"/>
      <c r="E22" s="7"/>
      <c r="F22" s="7"/>
      <c r="H22"/>
    </row>
    <row r="23" spans="1:9" s="3" customFormat="1" x14ac:dyDescent="0.2">
      <c r="A23"/>
      <c r="C23" s="7"/>
      <c r="D23" s="7"/>
      <c r="E23" s="7"/>
      <c r="F23" s="7"/>
      <c r="H23"/>
    </row>
    <row r="24" spans="1:9" s="3" customFormat="1" x14ac:dyDescent="0.2">
      <c r="A24"/>
      <c r="C24" s="7"/>
      <c r="D24" s="7"/>
      <c r="E24" s="7"/>
      <c r="F24" s="7"/>
      <c r="H24"/>
    </row>
    <row r="25" spans="1:9" s="3" customFormat="1" x14ac:dyDescent="0.2">
      <c r="A25"/>
      <c r="C25" s="7"/>
      <c r="D25" s="7"/>
      <c r="E25" s="7"/>
      <c r="F25" s="7"/>
      <c r="H25"/>
    </row>
    <row r="26" spans="1:9" s="3" customFormat="1" x14ac:dyDescent="0.2">
      <c r="A26"/>
      <c r="C26" s="7"/>
      <c r="D26" s="7"/>
      <c r="E26" s="7"/>
      <c r="F26" s="7"/>
      <c r="H26"/>
    </row>
    <row r="30" spans="1:9" s="3" customFormat="1" x14ac:dyDescent="0.2">
      <c r="A30"/>
      <c r="C30"/>
      <c r="D30"/>
      <c r="E30"/>
      <c r="F30"/>
      <c r="H30"/>
    </row>
  </sheetData>
  <pageMargins left="1" right="1" top="1" bottom="1" header="0.5" footer="0.5"/>
  <pageSetup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B87D6-AFFD-42B6-8775-5F4B5510D240}">
  <dimension ref="A1:I30"/>
  <sheetViews>
    <sheetView workbookViewId="0">
      <selection activeCell="F20" sqref="F20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43646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C9" s="7"/>
      <c r="D9" s="7"/>
      <c r="E9" s="7"/>
      <c r="F9" s="7">
        <f>+C9+D9-E9</f>
        <v>0</v>
      </c>
      <c r="G9" s="10">
        <f>B9-COUNT(E9)</f>
        <v>0</v>
      </c>
    </row>
    <row r="10" spans="1:8" x14ac:dyDescent="0.2">
      <c r="A10" t="s">
        <v>35</v>
      </c>
      <c r="B10" s="3">
        <v>11</v>
      </c>
      <c r="C10" s="7">
        <v>2870.84</v>
      </c>
      <c r="D10" s="7"/>
      <c r="E10" s="7">
        <f t="shared" ref="E10:E12" si="0">+ROUND((C10+D10)/B10,2)</f>
        <v>260.99</v>
      </c>
      <c r="F10" s="7">
        <f t="shared" ref="F10:F12" si="1">+C10+D10-E10</f>
        <v>2609.8500000000004</v>
      </c>
      <c r="G10" s="10">
        <v>10</v>
      </c>
    </row>
    <row r="11" spans="1:8" x14ac:dyDescent="0.2">
      <c r="A11" t="s">
        <v>36</v>
      </c>
      <c r="B11" s="3">
        <v>11</v>
      </c>
      <c r="C11" s="7">
        <v>433.34000000000003</v>
      </c>
      <c r="D11" s="7"/>
      <c r="E11" s="7">
        <f t="shared" si="0"/>
        <v>39.39</v>
      </c>
      <c r="F11" s="7">
        <f t="shared" si="1"/>
        <v>393.95000000000005</v>
      </c>
      <c r="G11" s="10">
        <v>10</v>
      </c>
    </row>
    <row r="12" spans="1:8" x14ac:dyDescent="0.2">
      <c r="A12" t="s">
        <v>39</v>
      </c>
      <c r="B12" s="3">
        <v>12</v>
      </c>
      <c r="C12" s="7">
        <v>972.97</v>
      </c>
      <c r="D12" s="7"/>
      <c r="E12" s="7">
        <f t="shared" si="0"/>
        <v>81.08</v>
      </c>
      <c r="F12" s="7">
        <f t="shared" si="1"/>
        <v>891.89</v>
      </c>
      <c r="G12" s="10">
        <v>11</v>
      </c>
    </row>
    <row r="13" spans="1:8" x14ac:dyDescent="0.2">
      <c r="C13" s="7"/>
      <c r="D13" s="7"/>
      <c r="E13" s="7"/>
      <c r="F13" s="7"/>
    </row>
    <row r="14" spans="1:8" ht="16" thickBot="1" x14ac:dyDescent="0.25">
      <c r="C14" s="11">
        <f>SUM(C6:C13)</f>
        <v>4277.1500000000005</v>
      </c>
      <c r="D14" s="11">
        <f>SUM(D6:D13)</f>
        <v>0</v>
      </c>
      <c r="E14" s="11">
        <f>SUM(E6:E13)</f>
        <v>381.46</v>
      </c>
      <c r="F14" s="11">
        <f>SUM(F6:F13)</f>
        <v>3895.69</v>
      </c>
    </row>
    <row r="15" spans="1:8" x14ac:dyDescent="0.2">
      <c r="A15" s="8" t="s">
        <v>17</v>
      </c>
      <c r="C15" s="7"/>
      <c r="D15" s="7"/>
      <c r="E15" s="7"/>
      <c r="F15" s="7"/>
    </row>
    <row r="16" spans="1:8" s="3" customFormat="1" x14ac:dyDescent="0.2">
      <c r="A16" t="s">
        <v>14</v>
      </c>
      <c r="C16" s="7"/>
      <c r="D16" s="7"/>
      <c r="E16" s="7">
        <v>2396.62</v>
      </c>
      <c r="F16" s="7">
        <v>0</v>
      </c>
      <c r="H16"/>
    </row>
    <row r="17" spans="1:9" s="3" customFormat="1" x14ac:dyDescent="0.2">
      <c r="A17" t="s">
        <v>30</v>
      </c>
      <c r="C17" s="7"/>
      <c r="D17" s="7"/>
      <c r="E17" s="7"/>
      <c r="F17" s="7">
        <v>5000</v>
      </c>
      <c r="H17"/>
    </row>
    <row r="18" spans="1:9" s="3" customFormat="1" x14ac:dyDescent="0.2">
      <c r="A18" t="s">
        <v>37</v>
      </c>
      <c r="C18" s="7"/>
      <c r="D18" s="7"/>
      <c r="E18" s="7"/>
      <c r="F18" s="7">
        <v>81.99</v>
      </c>
      <c r="H18"/>
    </row>
    <row r="19" spans="1:9" s="3" customFormat="1" x14ac:dyDescent="0.2">
      <c r="A19" t="s">
        <v>38</v>
      </c>
      <c r="C19" s="7"/>
      <c r="D19" s="7"/>
      <c r="E19" s="7"/>
      <c r="F19" s="7">
        <f>906+1812</f>
        <v>2718</v>
      </c>
      <c r="H19"/>
      <c r="I19" s="7"/>
    </row>
    <row r="20" spans="1:9" s="3" customFormat="1" ht="16" thickBot="1" x14ac:dyDescent="0.25">
      <c r="A20"/>
      <c r="C20" s="12"/>
      <c r="D20" s="7"/>
      <c r="E20" s="13">
        <f>SUM(E16:E17)</f>
        <v>2396.62</v>
      </c>
      <c r="F20" s="13">
        <f>SUM(F14:F19)</f>
        <v>11695.68</v>
      </c>
      <c r="H20"/>
    </row>
    <row r="21" spans="1:9" s="3" customFormat="1" ht="16" thickTop="1" x14ac:dyDescent="0.2">
      <c r="A21"/>
      <c r="C21" s="12"/>
      <c r="D21" s="7"/>
      <c r="E21" s="7"/>
      <c r="F21" s="7"/>
      <c r="H21"/>
    </row>
    <row r="22" spans="1:9" s="3" customFormat="1" x14ac:dyDescent="0.2">
      <c r="A22"/>
      <c r="C22" s="7"/>
      <c r="D22" s="7"/>
      <c r="E22" s="7"/>
      <c r="F22" s="7"/>
      <c r="H22"/>
    </row>
    <row r="23" spans="1:9" s="3" customFormat="1" x14ac:dyDescent="0.2">
      <c r="A23"/>
      <c r="C23" s="7"/>
      <c r="D23" s="7"/>
      <c r="E23" s="7"/>
      <c r="F23" s="7"/>
      <c r="H23"/>
    </row>
    <row r="24" spans="1:9" s="3" customFormat="1" x14ac:dyDescent="0.2">
      <c r="A24"/>
      <c r="C24" s="7"/>
      <c r="D24" s="7"/>
      <c r="E24" s="7"/>
      <c r="F24" s="7"/>
      <c r="H24"/>
    </row>
    <row r="25" spans="1:9" s="3" customFormat="1" x14ac:dyDescent="0.2">
      <c r="A25"/>
      <c r="C25" s="7"/>
      <c r="D25" s="7"/>
      <c r="E25" s="7"/>
      <c r="F25" s="7"/>
      <c r="H25"/>
    </row>
    <row r="26" spans="1:9" s="3" customFormat="1" x14ac:dyDescent="0.2">
      <c r="A26"/>
      <c r="C26" s="7"/>
      <c r="D26" s="7"/>
      <c r="E26" s="7"/>
      <c r="F26" s="7"/>
      <c r="H26"/>
    </row>
    <row r="30" spans="1:9" s="3" customFormat="1" x14ac:dyDescent="0.2">
      <c r="A30"/>
      <c r="C30"/>
      <c r="D30"/>
      <c r="E30"/>
      <c r="F30"/>
      <c r="H30"/>
    </row>
  </sheetData>
  <pageMargins left="1" right="1" top="1" bottom="1" header="0.5" footer="0.5"/>
  <pageSetup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4A406-E25E-4111-BD03-AFC37A8A8EAA}">
  <dimension ref="A1:H31"/>
  <sheetViews>
    <sheetView workbookViewId="0">
      <selection activeCell="E20" sqref="E20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43616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v>1</v>
      </c>
      <c r="C9" s="7">
        <v>82.66</v>
      </c>
      <c r="D9" s="7">
        <v>0</v>
      </c>
      <c r="E9" s="7">
        <f>+ROUND((C9+D9)/B9,2)</f>
        <v>82.66</v>
      </c>
      <c r="F9" s="7">
        <f>+C9+D9-E9</f>
        <v>0</v>
      </c>
      <c r="G9" s="10">
        <f>B9-COUNT(E9)</f>
        <v>0</v>
      </c>
    </row>
    <row r="10" spans="1:8" x14ac:dyDescent="0.2">
      <c r="A10" t="s">
        <v>35</v>
      </c>
      <c r="B10" s="3">
        <v>11</v>
      </c>
      <c r="C10" s="7">
        <v>3157.92</v>
      </c>
      <c r="D10" s="7"/>
      <c r="E10" s="7">
        <f t="shared" ref="E10:E11" si="0">+ROUND((C10+D10)/B10,2)</f>
        <v>287.08</v>
      </c>
      <c r="F10" s="7">
        <f t="shared" ref="F10:F12" si="1">+C10+D10-E10</f>
        <v>2870.84</v>
      </c>
      <c r="G10" s="10">
        <v>10</v>
      </c>
    </row>
    <row r="11" spans="1:8" x14ac:dyDescent="0.2">
      <c r="A11" t="s">
        <v>36</v>
      </c>
      <c r="B11" s="3">
        <v>11</v>
      </c>
      <c r="C11" s="7">
        <v>476.67</v>
      </c>
      <c r="D11" s="7"/>
      <c r="E11" s="7">
        <f t="shared" si="0"/>
        <v>43.33</v>
      </c>
      <c r="F11" s="7">
        <f t="shared" si="1"/>
        <v>433.34000000000003</v>
      </c>
      <c r="G11" s="10">
        <v>10</v>
      </c>
    </row>
    <row r="12" spans="1:8" x14ac:dyDescent="0.2">
      <c r="A12" t="s">
        <v>39</v>
      </c>
      <c r="B12" s="3">
        <v>12</v>
      </c>
      <c r="C12" s="7"/>
      <c r="D12" s="7">
        <v>972.97</v>
      </c>
      <c r="E12" s="7"/>
      <c r="F12" s="7">
        <f t="shared" si="1"/>
        <v>972.97</v>
      </c>
      <c r="G12" s="10"/>
    </row>
    <row r="13" spans="1:8" x14ac:dyDescent="0.2">
      <c r="C13" s="7"/>
      <c r="D13" s="7"/>
      <c r="E13" s="7"/>
      <c r="F13" s="7"/>
    </row>
    <row r="14" spans="1:8" ht="16" thickBot="1" x14ac:dyDescent="0.25">
      <c r="C14" s="11">
        <f>SUM(C6:C13)</f>
        <v>3717.25</v>
      </c>
      <c r="D14" s="11">
        <f>SUM(D6:D13)</f>
        <v>972.97</v>
      </c>
      <c r="E14" s="11">
        <f>SUM(E6:E13)</f>
        <v>413.07</v>
      </c>
      <c r="F14" s="11">
        <f>SUM(F6:F13)</f>
        <v>4277.1500000000005</v>
      </c>
    </row>
    <row r="15" spans="1:8" x14ac:dyDescent="0.2">
      <c r="A15" s="8" t="s">
        <v>17</v>
      </c>
      <c r="C15" s="7"/>
      <c r="D15" s="7"/>
      <c r="E15" s="7"/>
      <c r="F15" s="7"/>
    </row>
    <row r="16" spans="1:8" s="3" customFormat="1" x14ac:dyDescent="0.2">
      <c r="A16" t="s">
        <v>14</v>
      </c>
      <c r="C16" s="7"/>
      <c r="D16" s="7"/>
      <c r="E16" s="7"/>
      <c r="F16" s="7">
        <v>2396.62</v>
      </c>
      <c r="H16"/>
    </row>
    <row r="17" spans="1:8" s="3" customFormat="1" x14ac:dyDescent="0.2">
      <c r="A17" t="s">
        <v>29</v>
      </c>
      <c r="C17" s="7"/>
      <c r="D17" s="7"/>
      <c r="E17" s="7">
        <v>2794.57</v>
      </c>
      <c r="F17" s="7">
        <v>0</v>
      </c>
      <c r="H17"/>
    </row>
    <row r="18" spans="1:8" s="3" customFormat="1" x14ac:dyDescent="0.2">
      <c r="A18" t="s">
        <v>30</v>
      </c>
      <c r="C18" s="7"/>
      <c r="D18" s="7"/>
      <c r="E18" s="7"/>
      <c r="F18" s="7">
        <v>5000</v>
      </c>
      <c r="H18"/>
    </row>
    <row r="19" spans="1:8" s="3" customFormat="1" x14ac:dyDescent="0.2">
      <c r="A19" t="s">
        <v>37</v>
      </c>
      <c r="C19" s="7"/>
      <c r="D19" s="7"/>
      <c r="E19" s="7"/>
      <c r="F19" s="7">
        <v>81.99</v>
      </c>
      <c r="H19"/>
    </row>
    <row r="20" spans="1:8" s="3" customFormat="1" x14ac:dyDescent="0.2">
      <c r="A20" t="s">
        <v>38</v>
      </c>
      <c r="C20" s="7"/>
      <c r="D20" s="7"/>
      <c r="E20" s="7"/>
      <c r="F20" s="7">
        <v>906</v>
      </c>
      <c r="H20"/>
    </row>
    <row r="21" spans="1:8" s="3" customFormat="1" ht="16" thickBot="1" x14ac:dyDescent="0.25">
      <c r="A21"/>
      <c r="C21" s="12"/>
      <c r="D21" s="7"/>
      <c r="E21" s="13">
        <f>SUM(E16:E18)</f>
        <v>2794.57</v>
      </c>
      <c r="F21" s="13">
        <f>SUM(F14:F20)</f>
        <v>12661.76</v>
      </c>
      <c r="H21"/>
    </row>
    <row r="22" spans="1:8" s="3" customFormat="1" ht="16" thickTop="1" x14ac:dyDescent="0.2">
      <c r="A22"/>
      <c r="C22" s="12"/>
      <c r="D22" s="7"/>
      <c r="E22" s="7"/>
      <c r="F22" s="7"/>
      <c r="H22"/>
    </row>
    <row r="23" spans="1:8" s="3" customFormat="1" x14ac:dyDescent="0.2">
      <c r="A23"/>
      <c r="C23" s="7"/>
      <c r="D23" s="7"/>
      <c r="E23" s="7"/>
      <c r="F23" s="7"/>
      <c r="H23"/>
    </row>
    <row r="24" spans="1:8" s="3" customFormat="1" x14ac:dyDescent="0.2">
      <c r="A24"/>
      <c r="C24" s="7"/>
      <c r="D24" s="7"/>
      <c r="E24" s="7"/>
      <c r="F24" s="7"/>
      <c r="H24"/>
    </row>
    <row r="25" spans="1:8" s="3" customFormat="1" x14ac:dyDescent="0.2">
      <c r="A25"/>
      <c r="C25" s="7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31" spans="1:8" s="3" customFormat="1" x14ac:dyDescent="0.2">
      <c r="A31"/>
      <c r="C31"/>
      <c r="D31"/>
      <c r="E31"/>
      <c r="F31"/>
      <c r="H31"/>
    </row>
  </sheetData>
  <pageMargins left="1" right="1" top="1" bottom="1" header="0.5" footer="0.5"/>
  <pageSetup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BAFC-2500-4811-8E0C-4A73E36B2B10}">
  <dimension ref="A1:J34"/>
  <sheetViews>
    <sheetView zoomScaleNormal="100" workbookViewId="0">
      <selection activeCell="G19" sqref="G19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9" ht="19" x14ac:dyDescent="0.25">
      <c r="A1" s="1" t="s">
        <v>0</v>
      </c>
      <c r="B1" s="24" t="s">
        <v>72</v>
      </c>
      <c r="H1" s="2"/>
      <c r="I1" s="1"/>
    </row>
    <row r="2" spans="1:9" x14ac:dyDescent="0.2">
      <c r="A2" s="8" t="s">
        <v>18</v>
      </c>
    </row>
    <row r="3" spans="1:9" x14ac:dyDescent="0.2">
      <c r="A3" s="14">
        <v>44408</v>
      </c>
      <c r="B3" s="3">
        <v>31</v>
      </c>
      <c r="H3" s="5"/>
      <c r="I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9" ht="15.75" customHeight="1" x14ac:dyDescent="0.2">
      <c r="A5" s="8" t="s">
        <v>1</v>
      </c>
      <c r="C5" s="7"/>
      <c r="D5" s="7"/>
      <c r="E5" s="7"/>
      <c r="F5" s="7"/>
      <c r="G5" s="7"/>
    </row>
    <row r="6" spans="1:9" x14ac:dyDescent="0.2">
      <c r="A6" t="s">
        <v>83</v>
      </c>
      <c r="B6" s="3">
        <v>213</v>
      </c>
      <c r="C6" s="7">
        <v>3204.92</v>
      </c>
      <c r="D6" s="7"/>
      <c r="E6" s="7"/>
      <c r="F6" s="7"/>
      <c r="G6" s="7">
        <f t="shared" ref="G6" si="0">+C6+D6-E6</f>
        <v>3204.92</v>
      </c>
    </row>
    <row r="7" spans="1:9" x14ac:dyDescent="0.2">
      <c r="A7" t="s">
        <v>84</v>
      </c>
      <c r="B7" s="3">
        <v>273</v>
      </c>
      <c r="C7" s="7">
        <v>1511.57</v>
      </c>
      <c r="D7" s="7"/>
      <c r="E7" s="7"/>
      <c r="F7" s="7"/>
      <c r="G7" s="7">
        <f>+C7+D7-E7-F7</f>
        <v>1511.57</v>
      </c>
    </row>
    <row r="8" spans="1:9" ht="16" thickBot="1" x14ac:dyDescent="0.25">
      <c r="C8" s="11">
        <f>SUM(C6:C7)</f>
        <v>4716.49</v>
      </c>
      <c r="D8" s="11">
        <f>SUM(D6:D7)</f>
        <v>0</v>
      </c>
      <c r="E8" s="11">
        <f>SUM(E6:E7)</f>
        <v>0</v>
      </c>
      <c r="F8" s="11">
        <f>SUM(F6:F7)</f>
        <v>0</v>
      </c>
      <c r="G8" s="11">
        <f>SUM(G6:G7)</f>
        <v>4716.49</v>
      </c>
    </row>
    <row r="9" spans="1:9" x14ac:dyDescent="0.2">
      <c r="A9" s="8" t="s">
        <v>17</v>
      </c>
      <c r="C9" s="7"/>
      <c r="D9" s="7"/>
      <c r="E9" s="7"/>
      <c r="F9" s="7"/>
      <c r="G9" s="7"/>
    </row>
    <row r="10" spans="1:9" x14ac:dyDescent="0.2">
      <c r="A10" s="8" t="s">
        <v>82</v>
      </c>
      <c r="C10" s="7">
        <v>10000</v>
      </c>
      <c r="D10" s="7"/>
      <c r="E10" s="7"/>
      <c r="F10" s="7"/>
      <c r="G10" s="7">
        <f>C10+D10-E10</f>
        <v>10000</v>
      </c>
    </row>
    <row r="11" spans="1:9" s="3" customFormat="1" ht="32" x14ac:dyDescent="0.2">
      <c r="A11" s="23" t="s">
        <v>58</v>
      </c>
      <c r="C11" s="7">
        <v>1007.57</v>
      </c>
      <c r="D11" s="7"/>
      <c r="E11" s="7"/>
      <c r="F11" s="7"/>
      <c r="G11" s="7">
        <f>C11+D11-E11</f>
        <v>1007.57</v>
      </c>
      <c r="I11"/>
    </row>
    <row r="12" spans="1:9" s="3" customFormat="1" ht="16" x14ac:dyDescent="0.2">
      <c r="A12" s="22" t="s">
        <v>53</v>
      </c>
      <c r="C12" s="7">
        <v>5817.19</v>
      </c>
      <c r="D12" s="7"/>
      <c r="E12" s="7"/>
      <c r="F12" s="7"/>
      <c r="G12" s="7">
        <f t="shared" ref="G12:G19" si="1">C12+D12-E12</f>
        <v>5817.19</v>
      </c>
      <c r="I12"/>
    </row>
    <row r="13" spans="1:9" s="3" customFormat="1" ht="32" x14ac:dyDescent="0.2">
      <c r="A13" s="22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9" s="3" customFormat="1" ht="16" x14ac:dyDescent="0.2">
      <c r="A14" s="22" t="s">
        <v>75</v>
      </c>
      <c r="C14" s="7">
        <v>13850.12</v>
      </c>
      <c r="D14" s="7"/>
      <c r="E14" s="7"/>
      <c r="F14" s="7"/>
      <c r="G14" s="7">
        <f t="shared" si="1"/>
        <v>13850.12</v>
      </c>
      <c r="I14"/>
    </row>
    <row r="15" spans="1:9" s="3" customFormat="1" ht="16" x14ac:dyDescent="0.2">
      <c r="A15" s="22" t="s">
        <v>77</v>
      </c>
      <c r="B15" s="3">
        <v>122</v>
      </c>
      <c r="C15" s="7">
        <v>153.75</v>
      </c>
      <c r="D15" s="7"/>
      <c r="E15" s="7"/>
      <c r="F15" s="7"/>
      <c r="G15" s="7">
        <f t="shared" si="1"/>
        <v>153.75</v>
      </c>
      <c r="I15"/>
    </row>
    <row r="16" spans="1:9" s="3" customFormat="1" ht="16" x14ac:dyDescent="0.2">
      <c r="A16" s="22" t="s">
        <v>78</v>
      </c>
      <c r="B16" s="3">
        <v>365</v>
      </c>
      <c r="C16" s="7">
        <v>251.88</v>
      </c>
      <c r="D16" s="7"/>
      <c r="E16" s="7"/>
      <c r="F16" s="7"/>
      <c r="G16" s="7">
        <f t="shared" si="1"/>
        <v>251.88</v>
      </c>
      <c r="I16"/>
    </row>
    <row r="17" spans="1:10" s="3" customFormat="1" ht="16" x14ac:dyDescent="0.2">
      <c r="A17" s="22" t="s">
        <v>79</v>
      </c>
      <c r="B17" s="3">
        <v>365</v>
      </c>
      <c r="C17" s="7">
        <v>251.88</v>
      </c>
      <c r="D17" s="7"/>
      <c r="E17" s="7"/>
      <c r="F17" s="7"/>
      <c r="G17" s="7">
        <f t="shared" si="1"/>
        <v>251.88</v>
      </c>
      <c r="I17"/>
    </row>
    <row r="18" spans="1:10" s="3" customFormat="1" ht="16" x14ac:dyDescent="0.2">
      <c r="A18" s="22" t="s">
        <v>81</v>
      </c>
      <c r="B18" s="3">
        <v>122</v>
      </c>
      <c r="C18" s="7">
        <v>83.96</v>
      </c>
      <c r="D18" s="7"/>
      <c r="E18" s="7"/>
      <c r="F18" s="7"/>
      <c r="G18" s="7">
        <f t="shared" si="1"/>
        <v>83.96</v>
      </c>
      <c r="I18"/>
    </row>
    <row r="19" spans="1:10" s="3" customFormat="1" ht="16" x14ac:dyDescent="0.2">
      <c r="A19" s="22" t="s">
        <v>86</v>
      </c>
      <c r="C19" s="7"/>
      <c r="D19" s="7">
        <v>125.16</v>
      </c>
      <c r="E19" s="7">
        <v>0.97</v>
      </c>
      <c r="F19" s="7"/>
      <c r="G19" s="7">
        <f t="shared" si="1"/>
        <v>124.19</v>
      </c>
      <c r="I19"/>
    </row>
    <row r="20" spans="1:10" s="3" customFormat="1" ht="16" x14ac:dyDescent="0.2">
      <c r="A20" s="22" t="s">
        <v>87</v>
      </c>
      <c r="B20" s="3">
        <v>251</v>
      </c>
      <c r="C20" s="7">
        <v>140.02000000000001</v>
      </c>
      <c r="D20" s="7"/>
      <c r="E20" s="7"/>
      <c r="F20" s="27"/>
      <c r="G20" s="7">
        <f>C20+D20-E20</f>
        <v>140.02000000000001</v>
      </c>
      <c r="I20"/>
      <c r="J20" s="7"/>
    </row>
    <row r="21" spans="1:10" s="3" customFormat="1" ht="16" x14ac:dyDescent="0.2">
      <c r="A21" s="22" t="s">
        <v>69</v>
      </c>
      <c r="B21" s="3">
        <f>317-30-31-30-31-31-28-31-30-31-30-14</f>
        <v>0</v>
      </c>
      <c r="C21" s="7">
        <v>8.2041955835962135</v>
      </c>
      <c r="D21" s="7"/>
      <c r="E21" s="7">
        <f>7.57+0.63</f>
        <v>8.2000000000000011</v>
      </c>
      <c r="F21" s="27"/>
      <c r="G21" s="7">
        <f t="shared" ref="G21:G27" si="2">C21+D21-E21</f>
        <v>4.1955835962124155E-3</v>
      </c>
      <c r="I21"/>
      <c r="J21" s="7"/>
    </row>
    <row r="22" spans="1:10" s="3" customFormat="1" ht="16" x14ac:dyDescent="0.2">
      <c r="A22" s="22" t="s">
        <v>88</v>
      </c>
      <c r="B22" s="3">
        <v>317</v>
      </c>
      <c r="C22" s="7"/>
      <c r="D22" s="7">
        <v>187.07</v>
      </c>
      <c r="E22" s="7"/>
      <c r="F22" s="27"/>
      <c r="G22" s="7">
        <f t="shared" si="2"/>
        <v>187.07</v>
      </c>
      <c r="I22"/>
      <c r="J22" s="7"/>
    </row>
    <row r="23" spans="1:10" s="3" customFormat="1" ht="16" x14ac:dyDescent="0.2">
      <c r="A23" s="22" t="s">
        <v>85</v>
      </c>
      <c r="D23" s="7">
        <v>154</v>
      </c>
      <c r="E23" s="7"/>
      <c r="F23" s="27"/>
      <c r="G23" s="7">
        <f t="shared" si="2"/>
        <v>154</v>
      </c>
      <c r="I23"/>
      <c r="J23" s="7"/>
    </row>
    <row r="24" spans="1:10" s="3" customFormat="1" ht="16" x14ac:dyDescent="0.2">
      <c r="A24" s="22" t="s">
        <v>68</v>
      </c>
      <c r="B24" s="3">
        <v>0</v>
      </c>
      <c r="C24" s="7">
        <v>1.2457912457790599E-3</v>
      </c>
      <c r="D24" s="7"/>
      <c r="E24" s="7"/>
      <c r="F24" s="27"/>
      <c r="G24" s="7">
        <f t="shared" si="2"/>
        <v>1.2457912457790599E-3</v>
      </c>
      <c r="I24"/>
      <c r="J24" s="7"/>
    </row>
    <row r="25" spans="1:10" s="3" customFormat="1" ht="16" x14ac:dyDescent="0.2">
      <c r="A25" s="22" t="s">
        <v>63</v>
      </c>
      <c r="B25" s="3">
        <f>309-30-31-30-31-31-28-31-30-31-30-6</f>
        <v>0</v>
      </c>
      <c r="C25" s="7">
        <v>2.2414563106796077</v>
      </c>
      <c r="D25" s="7"/>
      <c r="E25" s="7">
        <f>1.79+0.45</f>
        <v>2.2400000000000002</v>
      </c>
      <c r="F25" s="27"/>
      <c r="G25" s="7">
        <f t="shared" si="2"/>
        <v>1.4563106796074976E-3</v>
      </c>
      <c r="I25"/>
      <c r="J25" s="7"/>
    </row>
    <row r="26" spans="1:10" s="3" customFormat="1" ht="16" x14ac:dyDescent="0.2">
      <c r="A26" s="22" t="s">
        <v>73</v>
      </c>
      <c r="B26" s="3">
        <f>365-31-30-31-30-31-31-28-31-30-31-30-31</f>
        <v>0</v>
      </c>
      <c r="C26" s="7">
        <v>28.391506849315075</v>
      </c>
      <c r="D26" s="7"/>
      <c r="E26" s="7">
        <f>27.45+0.94</f>
        <v>28.39</v>
      </c>
      <c r="F26" s="27"/>
      <c r="G26" s="7">
        <f t="shared" si="2"/>
        <v>1.5068493150742768E-3</v>
      </c>
      <c r="I26"/>
    </row>
    <row r="27" spans="1:10" s="3" customFormat="1" ht="16" x14ac:dyDescent="0.2">
      <c r="A27" s="22" t="s">
        <v>74</v>
      </c>
      <c r="B27" s="3">
        <v>1509</v>
      </c>
      <c r="C27" s="7">
        <v>495.34</v>
      </c>
      <c r="D27" s="7"/>
      <c r="E27" s="7"/>
      <c r="F27" s="27"/>
      <c r="G27" s="7">
        <f t="shared" si="2"/>
        <v>495.34</v>
      </c>
      <c r="I27"/>
    </row>
    <row r="28" spans="1:10" s="3" customFormat="1" x14ac:dyDescent="0.2">
      <c r="A28"/>
      <c r="C28" s="25">
        <f>SUM(C10:C27)</f>
        <v>33112.278404534838</v>
      </c>
      <c r="D28" s="25">
        <f>SUM(D10:D27)</f>
        <v>466.23</v>
      </c>
      <c r="E28" s="25">
        <f t="shared" ref="E28:G28" si="3">SUM(E10:E27)</f>
        <v>39.800000000000004</v>
      </c>
      <c r="F28" s="25">
        <f t="shared" si="3"/>
        <v>0</v>
      </c>
      <c r="G28" s="25">
        <f t="shared" si="3"/>
        <v>33538.708404534838</v>
      </c>
      <c r="I28"/>
    </row>
    <row r="29" spans="1:10" s="3" customFormat="1" ht="16" thickBot="1" x14ac:dyDescent="0.25">
      <c r="C29" s="26">
        <f>C8+C28</f>
        <v>37828.768404534836</v>
      </c>
      <c r="D29" s="26">
        <f>D8+D28</f>
        <v>466.23</v>
      </c>
      <c r="E29" s="26">
        <f>E8+E28</f>
        <v>39.800000000000004</v>
      </c>
      <c r="F29" s="26">
        <f>F8+F28</f>
        <v>0</v>
      </c>
      <c r="G29" s="26">
        <f>G8+G28</f>
        <v>38255.198404534836</v>
      </c>
      <c r="I29"/>
    </row>
    <row r="30" spans="1:10" s="3" customFormat="1" ht="16" thickTop="1" x14ac:dyDescent="0.2">
      <c r="A30"/>
      <c r="C30" s="7"/>
      <c r="D30" s="7"/>
      <c r="E30" s="7"/>
      <c r="F30" s="7"/>
      <c r="G30" s="7"/>
      <c r="I30"/>
    </row>
    <row r="34" spans="1:9" s="3" customFormat="1" x14ac:dyDescent="0.2">
      <c r="A34"/>
      <c r="C34"/>
      <c r="D34"/>
      <c r="E34"/>
      <c r="F34"/>
      <c r="G34"/>
      <c r="I34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5FB8-3D52-46A5-B595-A59DAB8B7A5B}">
  <dimension ref="A1:H30"/>
  <sheetViews>
    <sheetView topLeftCell="A2" workbookViewId="0">
      <selection activeCell="H20" sqref="H19:H20"/>
    </sheetView>
  </sheetViews>
  <sheetFormatPr baseColWidth="10" defaultColWidth="8.83203125" defaultRowHeight="15" x14ac:dyDescent="0.2"/>
  <cols>
    <col min="1" max="1" width="52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43585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v>2</v>
      </c>
      <c r="C9" s="7">
        <v>165.33</v>
      </c>
      <c r="D9" s="7">
        <v>0</v>
      </c>
      <c r="E9" s="7">
        <f>+ROUND((C9+D9)/B9,2)</f>
        <v>82.67</v>
      </c>
      <c r="F9" s="7">
        <f>+C9+D9-E9</f>
        <v>82.660000000000011</v>
      </c>
      <c r="G9" s="10">
        <f>B9-COUNT(E9)</f>
        <v>1</v>
      </c>
    </row>
    <row r="10" spans="1:8" x14ac:dyDescent="0.2">
      <c r="A10" t="s">
        <v>35</v>
      </c>
      <c r="B10" s="3">
        <v>12</v>
      </c>
      <c r="C10" s="7">
        <v>0</v>
      </c>
      <c r="D10" s="7">
        <v>3445</v>
      </c>
      <c r="E10" s="7">
        <f>+ROUND((C10+D10)/B10,2)</f>
        <v>287.08</v>
      </c>
      <c r="F10" s="7">
        <f>+C10+D10-E10</f>
        <v>3157.92</v>
      </c>
      <c r="G10" s="10">
        <v>11</v>
      </c>
    </row>
    <row r="11" spans="1:8" x14ac:dyDescent="0.2">
      <c r="A11" t="s">
        <v>36</v>
      </c>
      <c r="B11" s="3">
        <v>12</v>
      </c>
      <c r="C11" s="7"/>
      <c r="D11" s="7">
        <v>520</v>
      </c>
      <c r="E11" s="7">
        <f>+ROUND((C11+D11)/B11,2)</f>
        <v>43.33</v>
      </c>
      <c r="F11" s="7">
        <f>+C11+D11-E11</f>
        <v>476.67</v>
      </c>
      <c r="G11" s="10">
        <v>11</v>
      </c>
    </row>
    <row r="12" spans="1:8" x14ac:dyDescent="0.2">
      <c r="C12" s="7"/>
      <c r="D12" s="7"/>
      <c r="E12" s="7"/>
      <c r="F12" s="7"/>
    </row>
    <row r="13" spans="1:8" ht="16" thickBot="1" x14ac:dyDescent="0.25">
      <c r="C13" s="11">
        <f>SUM(C6:C12)</f>
        <v>165.33</v>
      </c>
      <c r="D13" s="11">
        <f>SUM(D6:D12)</f>
        <v>3965</v>
      </c>
      <c r="E13" s="11">
        <f>SUM(E6:E12)</f>
        <v>413.08</v>
      </c>
      <c r="F13" s="11">
        <f>SUM(F6:F12)</f>
        <v>3717.25</v>
      </c>
    </row>
    <row r="14" spans="1:8" x14ac:dyDescent="0.2">
      <c r="A14" s="8" t="s">
        <v>17</v>
      </c>
      <c r="C14" s="7"/>
      <c r="D14" s="7"/>
      <c r="E14" s="7"/>
      <c r="F14" s="7"/>
    </row>
    <row r="15" spans="1:8" s="3" customFormat="1" x14ac:dyDescent="0.2">
      <c r="A15" t="s">
        <v>14</v>
      </c>
      <c r="C15" s="7"/>
      <c r="D15" s="7"/>
      <c r="E15" s="7"/>
      <c r="F15" s="7">
        <v>2396.62</v>
      </c>
      <c r="H15"/>
    </row>
    <row r="16" spans="1:8" s="3" customFormat="1" x14ac:dyDescent="0.2">
      <c r="A16" t="s">
        <v>29</v>
      </c>
      <c r="C16" s="7"/>
      <c r="D16" s="7"/>
      <c r="E16" s="7"/>
      <c r="F16" s="7">
        <v>2794.57</v>
      </c>
      <c r="H16"/>
    </row>
    <row r="17" spans="1:8" s="3" customFormat="1" x14ac:dyDescent="0.2">
      <c r="A17" t="s">
        <v>30</v>
      </c>
      <c r="C17" s="7"/>
      <c r="D17" s="7"/>
      <c r="E17" s="7"/>
      <c r="F17" s="7">
        <v>5000</v>
      </c>
      <c r="H17"/>
    </row>
    <row r="18" spans="1:8" s="3" customFormat="1" x14ac:dyDescent="0.2">
      <c r="A18" t="s">
        <v>31</v>
      </c>
      <c r="C18" s="7"/>
      <c r="D18" s="7"/>
      <c r="E18" s="7">
        <v>1000</v>
      </c>
      <c r="F18" s="7">
        <v>0</v>
      </c>
      <c r="H18"/>
    </row>
    <row r="19" spans="1:8" s="3" customFormat="1" x14ac:dyDescent="0.2">
      <c r="A19" t="s">
        <v>31</v>
      </c>
      <c r="C19" s="7"/>
      <c r="D19" s="7"/>
      <c r="E19" s="7">
        <v>1000</v>
      </c>
      <c r="F19" s="7">
        <v>0</v>
      </c>
      <c r="H19"/>
    </row>
    <row r="20" spans="1:8" s="3" customFormat="1" ht="16" thickBot="1" x14ac:dyDescent="0.25">
      <c r="A20"/>
      <c r="C20" s="12"/>
      <c r="D20" s="7"/>
      <c r="E20" s="13">
        <f>SUM(E15:E19)</f>
        <v>2000</v>
      </c>
      <c r="F20" s="13">
        <f>SUM(F13:F19)</f>
        <v>13908.44</v>
      </c>
      <c r="H20"/>
    </row>
    <row r="21" spans="1:8" s="3" customFormat="1" ht="16" thickTop="1" x14ac:dyDescent="0.2">
      <c r="A21"/>
      <c r="C21" s="12"/>
      <c r="D21" s="7"/>
      <c r="E21" s="7"/>
      <c r="F21" s="7"/>
      <c r="H21"/>
    </row>
    <row r="22" spans="1:8" s="3" customFormat="1" x14ac:dyDescent="0.2">
      <c r="A22"/>
      <c r="C22" s="7"/>
      <c r="D22" s="7"/>
      <c r="E22" s="7"/>
      <c r="F22" s="7"/>
      <c r="H22"/>
    </row>
    <row r="23" spans="1:8" s="3" customFormat="1" x14ac:dyDescent="0.2">
      <c r="A23"/>
      <c r="C23" s="7"/>
      <c r="D23" s="7"/>
      <c r="E23" s="7"/>
      <c r="F23" s="7"/>
      <c r="H23"/>
    </row>
    <row r="24" spans="1:8" s="3" customFormat="1" x14ac:dyDescent="0.2">
      <c r="A24"/>
      <c r="C24" s="7"/>
      <c r="D24" s="7"/>
      <c r="E24" s="7"/>
      <c r="F24" s="7"/>
      <c r="H24"/>
    </row>
    <row r="25" spans="1:8" s="3" customFormat="1" x14ac:dyDescent="0.2">
      <c r="A25"/>
      <c r="C25" s="7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30" spans="1:8" s="3" customFormat="1" x14ac:dyDescent="0.2">
      <c r="A30"/>
      <c r="C30"/>
      <c r="D30"/>
      <c r="E30"/>
      <c r="F30"/>
      <c r="H30"/>
    </row>
  </sheetData>
  <pageMargins left="1" right="1" top="1" bottom="1" header="0.5" footer="0.5"/>
  <pageSetup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1BB8-3D2A-4F7B-8DD4-3F96216FB8C7}">
  <dimension ref="A1:H34"/>
  <sheetViews>
    <sheetView workbookViewId="0">
      <selection activeCell="A4" sqref="A4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43555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v>3</v>
      </c>
      <c r="C9" s="7">
        <v>247.99000000000007</v>
      </c>
      <c r="D9" s="7">
        <v>0</v>
      </c>
      <c r="E9" s="7">
        <f>+ROUND((C9+D9)/B9,2)</f>
        <v>82.66</v>
      </c>
      <c r="F9" s="7">
        <f>+C9+D9-E9</f>
        <v>165.33000000000007</v>
      </c>
      <c r="G9" s="10">
        <f>B9-COUNT(E9)</f>
        <v>2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s="15" t="s">
        <v>28</v>
      </c>
      <c r="B13" s="3">
        <v>1</v>
      </c>
      <c r="C13" s="7">
        <v>313.11000000000115</v>
      </c>
      <c r="D13" s="7">
        <v>0</v>
      </c>
      <c r="E13" s="7">
        <f>+ROUND((C13+D13)/B13,2)</f>
        <v>313.11</v>
      </c>
      <c r="F13" s="7">
        <f>+C13+D13-E13</f>
        <v>1.1368683772161603E-12</v>
      </c>
      <c r="G13" s="10">
        <f>B13-COUNT(E13)</f>
        <v>0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32</v>
      </c>
      <c r="C15" s="7"/>
      <c r="D15" s="7"/>
      <c r="E15" s="7"/>
      <c r="F15" s="7">
        <f>+C15+D15-E15</f>
        <v>0</v>
      </c>
      <c r="G15" s="10">
        <f>B15-COUNT(E15)</f>
        <v>0</v>
      </c>
    </row>
    <row r="16" spans="1:8" ht="16" thickBot="1" x14ac:dyDescent="0.25">
      <c r="C16" s="11">
        <f>SUM(C6:C15)</f>
        <v>561.10000000000127</v>
      </c>
      <c r="D16" s="11">
        <f>SUM(D6:D15)</f>
        <v>0</v>
      </c>
      <c r="E16" s="11">
        <f>SUM(E6:E15)</f>
        <v>395.77</v>
      </c>
      <c r="F16" s="11">
        <f>SUM(F6:F15)</f>
        <v>165.33000000000121</v>
      </c>
    </row>
    <row r="17" spans="1:8" x14ac:dyDescent="0.2">
      <c r="A17" s="8" t="s">
        <v>17</v>
      </c>
      <c r="C17" s="7"/>
      <c r="D17" s="7"/>
      <c r="E17" s="7"/>
      <c r="F17" s="7"/>
    </row>
    <row r="18" spans="1:8" s="3" customFormat="1" x14ac:dyDescent="0.2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">
      <c r="A23" t="s">
        <v>34</v>
      </c>
      <c r="C23" s="7"/>
      <c r="D23" s="7"/>
      <c r="E23" s="7">
        <v>2500</v>
      </c>
      <c r="F23" s="7">
        <v>0</v>
      </c>
      <c r="H23"/>
    </row>
    <row r="24" spans="1:8" s="3" customFormat="1" ht="16" thickBot="1" x14ac:dyDescent="0.25">
      <c r="A24"/>
      <c r="C24" s="12"/>
      <c r="D24" s="7"/>
      <c r="E24" s="13">
        <f>SUM(E18:E23)</f>
        <v>2500</v>
      </c>
      <c r="F24" s="13">
        <f>SUM(F16:F23)</f>
        <v>12356.52</v>
      </c>
      <c r="H24"/>
    </row>
    <row r="25" spans="1:8" s="3" customFormat="1" ht="16" thickTop="1" x14ac:dyDescent="0.2">
      <c r="A25"/>
      <c r="C25" s="12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0" spans="1:8" s="3" customFormat="1" x14ac:dyDescent="0.2">
      <c r="A30"/>
      <c r="C30" s="7"/>
      <c r="D30" s="7"/>
      <c r="E30" s="7"/>
      <c r="F30" s="7"/>
      <c r="H30"/>
    </row>
    <row r="34" spans="1:8" s="3" customFormat="1" x14ac:dyDescent="0.2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3D08-56CE-4865-99AC-1E27FF11E2C1}">
  <dimension ref="A1:H34"/>
  <sheetViews>
    <sheetView workbookViewId="0">
      <selection activeCell="A4" sqref="A4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43524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v>4</v>
      </c>
      <c r="C9" s="7">
        <v>330.66000000000008</v>
      </c>
      <c r="D9" s="7">
        <v>0</v>
      </c>
      <c r="E9" s="7">
        <f>+ROUND((C9+D9)/B9,2)</f>
        <v>82.67</v>
      </c>
      <c r="F9" s="7">
        <f>+C9+D9-E9</f>
        <v>247.99000000000007</v>
      </c>
      <c r="G9" s="10">
        <f>B9-COUNT(E9)</f>
        <v>3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s="15" t="s">
        <v>28</v>
      </c>
      <c r="B13" s="3">
        <v>2</v>
      </c>
      <c r="C13" s="7">
        <v>626.23000000000116</v>
      </c>
      <c r="D13" s="7">
        <v>0</v>
      </c>
      <c r="E13" s="7">
        <f>+ROUND((C13+D13)/B13,2)</f>
        <v>313.12</v>
      </c>
      <c r="F13" s="7">
        <f>+C13+D13-E13</f>
        <v>313.11000000000115</v>
      </c>
      <c r="G13" s="10">
        <f>B13-COUNT(E13)</f>
        <v>1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32</v>
      </c>
      <c r="C15" s="7"/>
      <c r="D15" s="7"/>
      <c r="E15" s="7"/>
      <c r="F15" s="7">
        <f>+C15+D15-E15</f>
        <v>0</v>
      </c>
      <c r="G15" s="10">
        <f>B15-COUNT(E15)</f>
        <v>0</v>
      </c>
    </row>
    <row r="16" spans="1:8" ht="16" thickBot="1" x14ac:dyDescent="0.25">
      <c r="C16" s="11">
        <f>SUM(C6:C15)</f>
        <v>956.89000000000124</v>
      </c>
      <c r="D16" s="11">
        <f>SUM(D6:D15)</f>
        <v>0</v>
      </c>
      <c r="E16" s="11">
        <f>SUM(E6:E15)</f>
        <v>395.79</v>
      </c>
      <c r="F16" s="11">
        <f>SUM(F6:F15)</f>
        <v>561.10000000000127</v>
      </c>
    </row>
    <row r="17" spans="1:8" x14ac:dyDescent="0.2">
      <c r="A17" s="8" t="s">
        <v>17</v>
      </c>
      <c r="C17" s="7"/>
      <c r="D17" s="7"/>
      <c r="E17" s="7"/>
      <c r="F17" s="7"/>
    </row>
    <row r="18" spans="1:8" s="3" customFormat="1" x14ac:dyDescent="0.2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">
      <c r="A23" t="s">
        <v>34</v>
      </c>
      <c r="C23" s="7"/>
      <c r="D23" s="7"/>
      <c r="E23" s="7"/>
      <c r="F23" s="7">
        <v>2500</v>
      </c>
      <c r="H23"/>
    </row>
    <row r="24" spans="1:8" s="3" customFormat="1" ht="16" thickBot="1" x14ac:dyDescent="0.25">
      <c r="A24"/>
      <c r="C24" s="12"/>
      <c r="D24" s="7"/>
      <c r="E24" s="13">
        <f>SUM(E18:E23)</f>
        <v>0</v>
      </c>
      <c r="F24" s="13">
        <f>SUM(F16:F23)</f>
        <v>15252.29</v>
      </c>
      <c r="H24"/>
    </row>
    <row r="25" spans="1:8" s="3" customFormat="1" ht="16" thickTop="1" x14ac:dyDescent="0.2">
      <c r="A25"/>
      <c r="C25" s="12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0" spans="1:8" s="3" customFormat="1" x14ac:dyDescent="0.2">
      <c r="A30"/>
      <c r="C30" s="7"/>
      <c r="D30" s="7"/>
      <c r="E30" s="7"/>
      <c r="F30" s="7"/>
      <c r="H30"/>
    </row>
    <row r="34" spans="1:8" s="3" customFormat="1" x14ac:dyDescent="0.2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8D81-20EF-4570-86B0-8C601E7B709B}">
  <dimension ref="A1:H34"/>
  <sheetViews>
    <sheetView workbookViewId="0">
      <selection activeCell="I20" sqref="I20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43496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v>5</v>
      </c>
      <c r="C9" s="7">
        <v>413.32000000000005</v>
      </c>
      <c r="D9" s="7">
        <v>0</v>
      </c>
      <c r="E9" s="7">
        <f>+ROUND((C9+D9)/B9,2)</f>
        <v>82.66</v>
      </c>
      <c r="F9" s="7">
        <f>+C9+D9-E9</f>
        <v>330.66000000000008</v>
      </c>
      <c r="G9" s="10">
        <f>B9-COUNT(E9)</f>
        <v>4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s="15" t="s">
        <v>28</v>
      </c>
      <c r="B13" s="3">
        <v>3</v>
      </c>
      <c r="C13" s="7">
        <v>939.34000000000117</v>
      </c>
      <c r="D13" s="7">
        <v>0</v>
      </c>
      <c r="E13" s="7">
        <f>+ROUND((C13+D13)/B13,2)</f>
        <v>313.11</v>
      </c>
      <c r="F13" s="7">
        <f>+C13+D13-E13</f>
        <v>626.23000000000116</v>
      </c>
      <c r="G13" s="10">
        <f>B13-COUNT(E13)</f>
        <v>2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32</v>
      </c>
      <c r="C15" s="7"/>
      <c r="D15" s="7"/>
      <c r="E15" s="7"/>
      <c r="F15" s="7">
        <f>+C15+D15-E15</f>
        <v>0</v>
      </c>
      <c r="G15" s="10">
        <f>B15-COUNT(E15)</f>
        <v>0</v>
      </c>
    </row>
    <row r="16" spans="1:8" ht="16" thickBot="1" x14ac:dyDescent="0.25">
      <c r="C16" s="11">
        <f>SUM(C6:C15)</f>
        <v>1352.6600000000012</v>
      </c>
      <c r="D16" s="11">
        <f>SUM(D6:D15)</f>
        <v>0</v>
      </c>
      <c r="E16" s="11">
        <f>SUM(E6:E15)</f>
        <v>395.77</v>
      </c>
      <c r="F16" s="11">
        <f>SUM(F6:F15)</f>
        <v>956.89000000000124</v>
      </c>
    </row>
    <row r="17" spans="1:8" x14ac:dyDescent="0.2">
      <c r="A17" s="8" t="s">
        <v>17</v>
      </c>
      <c r="C17" s="7"/>
      <c r="D17" s="7"/>
      <c r="E17" s="7"/>
      <c r="F17" s="7"/>
    </row>
    <row r="18" spans="1:8" s="3" customFormat="1" x14ac:dyDescent="0.2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">
      <c r="A23" t="s">
        <v>34</v>
      </c>
      <c r="C23" s="7"/>
      <c r="D23" s="7"/>
      <c r="E23" s="7"/>
      <c r="F23" s="7">
        <v>2500</v>
      </c>
      <c r="H23"/>
    </row>
    <row r="24" spans="1:8" s="3" customFormat="1" ht="16" thickBot="1" x14ac:dyDescent="0.25">
      <c r="A24"/>
      <c r="C24" s="12"/>
      <c r="D24" s="7"/>
      <c r="E24" s="13">
        <f>SUM(E18:E23)</f>
        <v>0</v>
      </c>
      <c r="F24" s="13">
        <f>SUM(F16:F23)</f>
        <v>15648.080000000002</v>
      </c>
      <c r="H24"/>
    </row>
    <row r="25" spans="1:8" s="3" customFormat="1" ht="16" thickTop="1" x14ac:dyDescent="0.2">
      <c r="A25"/>
      <c r="C25" s="12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0" spans="1:8" s="3" customFormat="1" x14ac:dyDescent="0.2">
      <c r="A30"/>
      <c r="C30" s="7"/>
      <c r="D30" s="7"/>
      <c r="E30" s="7"/>
      <c r="F30" s="7"/>
      <c r="H30"/>
    </row>
    <row r="34" spans="1:8" s="3" customFormat="1" x14ac:dyDescent="0.2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EFDA-FDD5-4D3A-85BB-118280BD8416}">
  <dimension ref="A1:H34"/>
  <sheetViews>
    <sheetView workbookViewId="0">
      <selection activeCell="F9" sqref="F9:F14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43465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v>6</v>
      </c>
      <c r="C9" s="7">
        <v>495.98</v>
      </c>
      <c r="D9" s="7">
        <v>0</v>
      </c>
      <c r="E9" s="7">
        <f>+ROUND((C9+D9)/B9,2)</f>
        <v>82.66</v>
      </c>
      <c r="F9" s="7">
        <f>+C9+D9-E9</f>
        <v>413.32000000000005</v>
      </c>
      <c r="G9" s="10">
        <f>B9-COUNT(E9)</f>
        <v>5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s="15" t="s">
        <v>28</v>
      </c>
      <c r="B13" s="3">
        <v>4</v>
      </c>
      <c r="C13" s="7">
        <v>1252.4500000000012</v>
      </c>
      <c r="D13" s="7">
        <v>0</v>
      </c>
      <c r="E13" s="7">
        <f>+ROUND((C13+D13)/B13,2)</f>
        <v>313.11</v>
      </c>
      <c r="F13" s="7">
        <f>+C13+D13-E13</f>
        <v>939.34000000000117</v>
      </c>
      <c r="G13" s="10">
        <f>B13-COUNT(E13)</f>
        <v>3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32</v>
      </c>
      <c r="B15" s="3">
        <v>1</v>
      </c>
      <c r="C15" s="7">
        <v>100</v>
      </c>
      <c r="D15" s="7"/>
      <c r="E15" s="7">
        <v>100</v>
      </c>
      <c r="F15" s="7">
        <f>+C15+D15-E15</f>
        <v>0</v>
      </c>
      <c r="G15" s="10">
        <f>B15-COUNT(E15)</f>
        <v>0</v>
      </c>
    </row>
    <row r="16" spans="1:8" ht="16" thickBot="1" x14ac:dyDescent="0.25">
      <c r="C16" s="11">
        <f>SUM(C6:C15)</f>
        <v>1848.4300000000012</v>
      </c>
      <c r="D16" s="11">
        <f>SUM(D6:D15)</f>
        <v>0</v>
      </c>
      <c r="E16" s="11">
        <f>SUM(E6:E15)</f>
        <v>495.77</v>
      </c>
      <c r="F16" s="11">
        <f>SUM(F6:F15)</f>
        <v>1352.6600000000012</v>
      </c>
    </row>
    <row r="17" spans="1:8" x14ac:dyDescent="0.2">
      <c r="A17" s="8" t="s">
        <v>17</v>
      </c>
      <c r="C17" s="7"/>
      <c r="D17" s="7"/>
      <c r="E17" s="7"/>
      <c r="F17" s="7"/>
    </row>
    <row r="18" spans="1:8" s="3" customFormat="1" x14ac:dyDescent="0.2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">
      <c r="A23" t="s">
        <v>34</v>
      </c>
      <c r="C23" s="7"/>
      <c r="D23" s="7"/>
      <c r="E23" s="7"/>
      <c r="F23" s="7">
        <v>2500</v>
      </c>
      <c r="H23"/>
    </row>
    <row r="24" spans="1:8" s="3" customFormat="1" ht="16" thickBot="1" x14ac:dyDescent="0.25">
      <c r="A24"/>
      <c r="C24" s="12"/>
      <c r="D24" s="7"/>
      <c r="E24" s="13">
        <f>SUM(E18:E23)</f>
        <v>0</v>
      </c>
      <c r="F24" s="13">
        <f>SUM(F16:F23)</f>
        <v>16043.850000000002</v>
      </c>
      <c r="H24"/>
    </row>
    <row r="25" spans="1:8" s="3" customFormat="1" ht="16" thickTop="1" x14ac:dyDescent="0.2">
      <c r="A25"/>
      <c r="C25" s="12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0" spans="1:8" s="3" customFormat="1" x14ac:dyDescent="0.2">
      <c r="A30"/>
      <c r="C30" s="7"/>
      <c r="D30" s="7"/>
      <c r="E30" s="7"/>
      <c r="F30" s="7"/>
      <c r="H30"/>
    </row>
    <row r="34" spans="1:8" s="3" customFormat="1" x14ac:dyDescent="0.2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79561-0B8D-4648-A893-CAB4A172F566}">
  <dimension ref="A1:H34"/>
  <sheetViews>
    <sheetView workbookViewId="0">
      <selection activeCell="F13" sqref="F13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43434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v>7</v>
      </c>
      <c r="C9" s="7">
        <f>+Oct!F9</f>
        <v>578.64</v>
      </c>
      <c r="D9" s="7">
        <v>0</v>
      </c>
      <c r="E9" s="7">
        <f>+ROUND((C9+D9)/B9,2)</f>
        <v>82.66</v>
      </c>
      <c r="F9" s="7">
        <f>+C9+D9-E9</f>
        <v>495.98</v>
      </c>
      <c r="G9" s="10">
        <f>B9-COUNT(E9)</f>
        <v>6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s="15" t="s">
        <v>28</v>
      </c>
      <c r="B13" s="3">
        <v>5</v>
      </c>
      <c r="C13" s="7">
        <f>+Oct!F13</f>
        <v>1565.5600000000013</v>
      </c>
      <c r="D13" s="7">
        <v>0</v>
      </c>
      <c r="E13" s="7">
        <f>+ROUND((C13+D13)/B13,2)</f>
        <v>313.11</v>
      </c>
      <c r="F13" s="7">
        <f>+C13+D13-E13</f>
        <v>1252.4500000000012</v>
      </c>
      <c r="G13" s="10">
        <f>B13-COUNT(E13)</f>
        <v>4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32</v>
      </c>
      <c r="B15" s="3">
        <v>2</v>
      </c>
      <c r="C15" s="7">
        <f>+Oct!F15</f>
        <v>200</v>
      </c>
      <c r="D15" s="7"/>
      <c r="E15" s="7">
        <v>100</v>
      </c>
      <c r="F15" s="7">
        <f>+C15+D15-E15</f>
        <v>100</v>
      </c>
      <c r="G15" s="10">
        <f>B15-COUNT(E15)</f>
        <v>1</v>
      </c>
    </row>
    <row r="16" spans="1:8" ht="16" thickBot="1" x14ac:dyDescent="0.25">
      <c r="C16" s="11">
        <f>SUM(C6:C15)</f>
        <v>2344.2000000000012</v>
      </c>
      <c r="D16" s="11">
        <f>SUM(D6:D15)</f>
        <v>0</v>
      </c>
      <c r="E16" s="11">
        <f>SUM(E6:E15)</f>
        <v>495.77</v>
      </c>
      <c r="F16" s="11">
        <f>SUM(F6:F15)</f>
        <v>1848.4300000000012</v>
      </c>
    </row>
    <row r="17" spans="1:8" x14ac:dyDescent="0.2">
      <c r="A17" s="8" t="s">
        <v>17</v>
      </c>
      <c r="C17" s="7"/>
      <c r="D17" s="7"/>
      <c r="E17" s="7"/>
      <c r="F17" s="7"/>
    </row>
    <row r="18" spans="1:8" s="3" customFormat="1" x14ac:dyDescent="0.2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">
      <c r="A23" t="s">
        <v>33</v>
      </c>
      <c r="C23" s="7"/>
      <c r="D23" s="7"/>
      <c r="E23" s="7">
        <v>50</v>
      </c>
      <c r="F23" s="7">
        <v>0</v>
      </c>
      <c r="H23"/>
    </row>
    <row r="24" spans="1:8" s="3" customFormat="1" ht="16" thickBot="1" x14ac:dyDescent="0.25">
      <c r="A24"/>
      <c r="C24" s="12"/>
      <c r="D24" s="7"/>
      <c r="E24" s="13">
        <f>SUM(E18:E23)</f>
        <v>50</v>
      </c>
      <c r="F24" s="13">
        <f>SUM(F16:F23)</f>
        <v>14039.62</v>
      </c>
      <c r="H24"/>
    </row>
    <row r="25" spans="1:8" s="3" customFormat="1" ht="16" thickTop="1" x14ac:dyDescent="0.2">
      <c r="A25"/>
      <c r="C25" s="12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0" spans="1:8" s="3" customFormat="1" x14ac:dyDescent="0.2">
      <c r="A30"/>
      <c r="C30" s="7"/>
      <c r="D30" s="7"/>
      <c r="E30" s="7"/>
      <c r="F30" s="7"/>
      <c r="H30"/>
    </row>
    <row r="34" spans="1:8" s="3" customFormat="1" x14ac:dyDescent="0.2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3C5B1-A48D-43C5-8A3C-368CE1FEEA9E}">
  <dimension ref="A1:H34"/>
  <sheetViews>
    <sheetView topLeftCell="A7" workbookViewId="0">
      <selection activeCell="A23" sqref="A23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43404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f>+Sep!G9</f>
        <v>8</v>
      </c>
      <c r="C9" s="7">
        <f>+Sep!F9</f>
        <v>661.3</v>
      </c>
      <c r="D9" s="7">
        <v>0</v>
      </c>
      <c r="E9" s="7">
        <f>+ROUND((C9+D9)/B9,2)</f>
        <v>82.66</v>
      </c>
      <c r="F9" s="7">
        <f>+C9+D9-E9</f>
        <v>578.64</v>
      </c>
      <c r="G9" s="10">
        <f>B9-COUNT(E9)</f>
        <v>7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s="15" t="s">
        <v>28</v>
      </c>
      <c r="B13" s="3">
        <f>+Sep!G13</f>
        <v>6</v>
      </c>
      <c r="C13" s="7">
        <f>+Sep!F13</f>
        <v>1878.6700000000014</v>
      </c>
      <c r="D13" s="7">
        <v>0</v>
      </c>
      <c r="E13" s="7">
        <f>+ROUND((C13+D13)/B13,2)</f>
        <v>313.11</v>
      </c>
      <c r="F13" s="7">
        <f>+C13+D13-E13</f>
        <v>1565.5600000000013</v>
      </c>
      <c r="G13" s="10">
        <f>B13-COUNT(E13)</f>
        <v>5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32</v>
      </c>
      <c r="B15" s="3">
        <v>2</v>
      </c>
      <c r="C15" s="7"/>
      <c r="D15" s="7">
        <v>200</v>
      </c>
      <c r="E15" s="7"/>
      <c r="F15" s="7">
        <f>+C15+D15-E15</f>
        <v>200</v>
      </c>
      <c r="G15" s="3">
        <v>2</v>
      </c>
    </row>
    <row r="16" spans="1:8" ht="16" thickBot="1" x14ac:dyDescent="0.25">
      <c r="C16" s="11">
        <f>SUM(C6:C15)</f>
        <v>2539.9700000000012</v>
      </c>
      <c r="D16" s="11">
        <f>SUM(D6:D15)</f>
        <v>200</v>
      </c>
      <c r="E16" s="11">
        <f>SUM(E6:E15)</f>
        <v>395.77</v>
      </c>
      <c r="F16" s="11">
        <f>SUM(F6:F15)</f>
        <v>2344.2000000000012</v>
      </c>
    </row>
    <row r="17" spans="1:8" x14ac:dyDescent="0.2">
      <c r="A17" s="8" t="s">
        <v>17</v>
      </c>
      <c r="C17" s="7"/>
      <c r="D17" s="7"/>
      <c r="E17" s="7"/>
      <c r="F17" s="7"/>
    </row>
    <row r="18" spans="1:8" s="3" customFormat="1" x14ac:dyDescent="0.2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">
      <c r="A21" t="s">
        <v>31</v>
      </c>
      <c r="C21" s="7"/>
      <c r="D21" s="7"/>
      <c r="E21" s="7"/>
      <c r="F21" s="7">
        <v>1000</v>
      </c>
      <c r="H21"/>
    </row>
    <row r="22" spans="1:8" s="3" customFormat="1" x14ac:dyDescent="0.2">
      <c r="A22" t="s">
        <v>31</v>
      </c>
      <c r="C22" s="7"/>
      <c r="D22" s="7"/>
      <c r="E22" s="7"/>
      <c r="F22" s="7">
        <v>1000</v>
      </c>
      <c r="H22"/>
    </row>
    <row r="23" spans="1:8" s="3" customFormat="1" x14ac:dyDescent="0.2">
      <c r="A23" t="s">
        <v>33</v>
      </c>
      <c r="C23" s="7"/>
      <c r="D23" s="7"/>
      <c r="E23" s="7"/>
      <c r="F23" s="7">
        <v>50</v>
      </c>
      <c r="H23"/>
    </row>
    <row r="24" spans="1:8" s="3" customFormat="1" ht="16" thickBot="1" x14ac:dyDescent="0.25">
      <c r="A24"/>
      <c r="C24" s="12"/>
      <c r="D24" s="7"/>
      <c r="E24" s="7"/>
      <c r="F24" s="13">
        <f>SUM(F16:F23)</f>
        <v>14585.390000000001</v>
      </c>
      <c r="H24"/>
    </row>
    <row r="25" spans="1:8" s="3" customFormat="1" ht="16" thickTop="1" x14ac:dyDescent="0.2">
      <c r="A25"/>
      <c r="C25" s="12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0" spans="1:8" s="3" customFormat="1" x14ac:dyDescent="0.2">
      <c r="A30"/>
      <c r="C30" s="7"/>
      <c r="D30" s="7"/>
      <c r="E30" s="7"/>
      <c r="F30" s="7"/>
      <c r="H30"/>
    </row>
    <row r="34" spans="1:8" s="3" customFormat="1" x14ac:dyDescent="0.2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25FAA-2D07-43BB-934A-4EA75B31BA92}">
  <dimension ref="A1:H32"/>
  <sheetViews>
    <sheetView workbookViewId="0"/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43373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f>+Aug!G9</f>
        <v>9</v>
      </c>
      <c r="C9" s="7">
        <f>+Aug!F9</f>
        <v>743.95999999999992</v>
      </c>
      <c r="D9" s="7">
        <v>0</v>
      </c>
      <c r="E9" s="7">
        <f>+ROUND((C9+D9)/B9,2)</f>
        <v>82.66</v>
      </c>
      <c r="F9" s="7">
        <f>+C9+D9-E9</f>
        <v>661.3</v>
      </c>
      <c r="G9" s="10">
        <f>B9-COUNT(E9)</f>
        <v>8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s="15" t="s">
        <v>28</v>
      </c>
      <c r="B13" s="3">
        <f>+Aug!G13</f>
        <v>7</v>
      </c>
      <c r="C13" s="7">
        <f>+Aug!F13</f>
        <v>2191.7800000000016</v>
      </c>
      <c r="D13" s="7">
        <v>0</v>
      </c>
      <c r="E13" s="7">
        <f>+ROUND((C13+D13)/B13,2)</f>
        <v>313.11</v>
      </c>
      <c r="F13" s="7">
        <f>+C13+D13-E13</f>
        <v>1878.6700000000014</v>
      </c>
      <c r="G13" s="10">
        <f>B13-COUNT(E13)</f>
        <v>6</v>
      </c>
    </row>
    <row r="14" spans="1:8" x14ac:dyDescent="0.2">
      <c r="C14" s="7"/>
      <c r="D14" s="7"/>
      <c r="E14" s="7"/>
      <c r="F14" s="7"/>
      <c r="G14" s="10"/>
    </row>
    <row r="15" spans="1:8" x14ac:dyDescent="0.2">
      <c r="C15" s="7"/>
      <c r="D15" s="7"/>
      <c r="E15" s="7"/>
      <c r="F15" s="7"/>
    </row>
    <row r="16" spans="1:8" ht="16" thickBot="1" x14ac:dyDescent="0.25">
      <c r="C16" s="11">
        <f>SUM(C6:C15)</f>
        <v>2935.7400000000016</v>
      </c>
      <c r="D16" s="11">
        <f>SUM(D6:D15)</f>
        <v>0</v>
      </c>
      <c r="E16" s="11">
        <f>SUM(E6:E15)</f>
        <v>395.77</v>
      </c>
      <c r="F16" s="11">
        <f>SUM(F6:F15)</f>
        <v>2539.9700000000012</v>
      </c>
    </row>
    <row r="17" spans="1:8" x14ac:dyDescent="0.2">
      <c r="A17" s="8" t="s">
        <v>17</v>
      </c>
      <c r="C17" s="7"/>
      <c r="D17" s="7"/>
      <c r="E17" s="7"/>
      <c r="F17" s="7"/>
    </row>
    <row r="18" spans="1:8" s="3" customFormat="1" x14ac:dyDescent="0.2">
      <c r="A18" t="s">
        <v>14</v>
      </c>
      <c r="C18" s="7"/>
      <c r="D18" s="7"/>
      <c r="E18" s="7"/>
      <c r="F18" s="7">
        <v>2396.62</v>
      </c>
      <c r="H18"/>
    </row>
    <row r="19" spans="1:8" s="3" customFormat="1" x14ac:dyDescent="0.2">
      <c r="A19" t="s">
        <v>29</v>
      </c>
      <c r="C19" s="7"/>
      <c r="D19" s="7"/>
      <c r="E19" s="7"/>
      <c r="F19" s="7">
        <v>2794.57</v>
      </c>
      <c r="H19"/>
    </row>
    <row r="20" spans="1:8" s="3" customFormat="1" x14ac:dyDescent="0.2">
      <c r="A20" t="s">
        <v>30</v>
      </c>
      <c r="C20" s="7"/>
      <c r="D20" s="7"/>
      <c r="E20" s="7"/>
      <c r="F20" s="7">
        <v>5000</v>
      </c>
      <c r="H20"/>
    </row>
    <row r="21" spans="1:8" s="3" customFormat="1" x14ac:dyDescent="0.2">
      <c r="A21" t="s">
        <v>31</v>
      </c>
      <c r="C21" s="7"/>
      <c r="D21" s="7"/>
      <c r="E21" s="7"/>
      <c r="F21" s="7">
        <v>1000</v>
      </c>
      <c r="H21"/>
    </row>
    <row r="22" spans="1:8" s="3" customFormat="1" ht="16" thickBot="1" x14ac:dyDescent="0.25">
      <c r="A22"/>
      <c r="C22" s="12"/>
      <c r="D22" s="7"/>
      <c r="E22" s="7"/>
      <c r="F22" s="13">
        <f>SUM(F16:F21)</f>
        <v>13731.160000000002</v>
      </c>
      <c r="H22"/>
    </row>
    <row r="23" spans="1:8" s="3" customFormat="1" ht="16" thickTop="1" x14ac:dyDescent="0.2">
      <c r="A23"/>
      <c r="C23" s="12"/>
      <c r="D23" s="7"/>
      <c r="E23" s="7"/>
      <c r="F23" s="7"/>
      <c r="H23"/>
    </row>
    <row r="24" spans="1:8" s="3" customFormat="1" x14ac:dyDescent="0.2">
      <c r="A24"/>
      <c r="C24" s="7"/>
      <c r="D24" s="7"/>
      <c r="E24" s="7"/>
      <c r="F24" s="7"/>
      <c r="H24"/>
    </row>
    <row r="25" spans="1:8" s="3" customFormat="1" x14ac:dyDescent="0.2">
      <c r="A25"/>
      <c r="C25" s="7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32" spans="1:8" s="3" customFormat="1" x14ac:dyDescent="0.2">
      <c r="A32"/>
      <c r="C32"/>
      <c r="D32"/>
      <c r="E32"/>
      <c r="F32"/>
      <c r="H32"/>
    </row>
  </sheetData>
  <pageMargins left="1" right="1" top="1" bottom="1" header="0.5" footer="0.5"/>
  <pageSetup orientation="landscape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D6A0-240E-4F72-ABAB-F12F22C3F710}">
  <dimension ref="A1:H34"/>
  <sheetViews>
    <sheetView topLeftCell="A4" workbookViewId="0">
      <selection activeCell="F19" sqref="F19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43343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f>+Jul!G9</f>
        <v>10</v>
      </c>
      <c r="C9" s="7">
        <f>+Jul!F9</f>
        <v>826.61999999999989</v>
      </c>
      <c r="D9" s="7">
        <v>0</v>
      </c>
      <c r="E9" s="7">
        <f>+ROUND((C9+D9)/B9,2)</f>
        <v>82.66</v>
      </c>
      <c r="F9" s="7">
        <f>+C9+D9-E9</f>
        <v>743.95999999999992</v>
      </c>
      <c r="G9" s="10">
        <f>B9-COUNT(E9)</f>
        <v>9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s="15" t="s">
        <v>28</v>
      </c>
      <c r="B13" s="3">
        <f>+Jul!G13+9</f>
        <v>9</v>
      </c>
      <c r="C13" s="7">
        <f>+Jul!F13</f>
        <v>1.8189894035458565E-12</v>
      </c>
      <c r="D13" s="7">
        <f>2441+377</f>
        <v>2818</v>
      </c>
      <c r="E13" s="7">
        <f>+ROUND((C13+D13)/B13,2)*2</f>
        <v>626.22</v>
      </c>
      <c r="F13" s="7">
        <f>+C13+D13-E13</f>
        <v>2191.7800000000016</v>
      </c>
      <c r="G13" s="10">
        <f>B13-COUNT(E13)-1</f>
        <v>7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19</v>
      </c>
      <c r="C15" s="7"/>
      <c r="D15" s="7"/>
      <c r="E15" s="7"/>
      <c r="F15" s="7"/>
      <c r="G15" s="10"/>
    </row>
    <row r="16" spans="1:8" x14ac:dyDescent="0.2">
      <c r="A16" t="s">
        <v>24</v>
      </c>
      <c r="C16" s="7"/>
      <c r="D16" s="7"/>
      <c r="E16" s="7"/>
      <c r="F16" s="7"/>
      <c r="G16" s="10"/>
    </row>
    <row r="17" spans="1:8" x14ac:dyDescent="0.2">
      <c r="A17" t="s">
        <v>20</v>
      </c>
      <c r="B17" s="3">
        <f>+Jul!G17</f>
        <v>1</v>
      </c>
      <c r="C17" s="7">
        <f>+Jul!F17</f>
        <v>102.41000000000007</v>
      </c>
      <c r="D17" s="7">
        <v>0</v>
      </c>
      <c r="E17" s="7">
        <f>+ROUND((C17+D17)/B17,2)</f>
        <v>102.41</v>
      </c>
      <c r="F17" s="7">
        <f>+C17+D17-E17</f>
        <v>0</v>
      </c>
      <c r="G17" s="10">
        <f>B17-COUNT(E17)</f>
        <v>0</v>
      </c>
    </row>
    <row r="18" spans="1:8" x14ac:dyDescent="0.2">
      <c r="C18" s="7"/>
      <c r="D18" s="7"/>
      <c r="E18" s="7"/>
      <c r="F18" s="7"/>
    </row>
    <row r="19" spans="1:8" ht="16" thickBot="1" x14ac:dyDescent="0.25">
      <c r="C19" s="11">
        <f>SUM(C6:C18)</f>
        <v>929.03000000000179</v>
      </c>
      <c r="D19" s="11">
        <f t="shared" ref="D19:F19" si="0">SUM(D6:D18)</f>
        <v>2818</v>
      </c>
      <c r="E19" s="11">
        <f t="shared" si="0"/>
        <v>811.29</v>
      </c>
      <c r="F19" s="11">
        <f t="shared" si="0"/>
        <v>2935.7400000000016</v>
      </c>
    </row>
    <row r="20" spans="1:8" x14ac:dyDescent="0.2">
      <c r="A20" s="8" t="s">
        <v>17</v>
      </c>
      <c r="C20" s="7"/>
      <c r="D20" s="7"/>
      <c r="E20" s="7"/>
      <c r="F20" s="7"/>
    </row>
    <row r="21" spans="1:8" s="3" customFormat="1" x14ac:dyDescent="0.2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">
      <c r="A22" t="s">
        <v>23</v>
      </c>
      <c r="C22" s="7"/>
      <c r="D22" s="7"/>
      <c r="E22" s="7"/>
      <c r="F22" s="7">
        <v>2794.57</v>
      </c>
      <c r="H22"/>
    </row>
    <row r="23" spans="1:8" s="3" customFormat="1" x14ac:dyDescent="0.2">
      <c r="A23"/>
      <c r="C23" s="7"/>
      <c r="D23" s="7"/>
      <c r="E23" s="7"/>
      <c r="F23" s="7"/>
      <c r="H23"/>
    </row>
    <row r="24" spans="1:8" s="3" customFormat="1" ht="16" thickBot="1" x14ac:dyDescent="0.25">
      <c r="A24"/>
      <c r="C24" s="12"/>
      <c r="D24" s="7"/>
      <c r="E24" s="7"/>
      <c r="F24" s="13">
        <f>SUM(F19:F23)</f>
        <v>8126.9300000000021</v>
      </c>
      <c r="H24"/>
    </row>
    <row r="25" spans="1:8" s="3" customFormat="1" ht="16" thickTop="1" x14ac:dyDescent="0.2">
      <c r="A25"/>
      <c r="C25" s="12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0" spans="1:8" s="3" customFormat="1" x14ac:dyDescent="0.2">
      <c r="A30"/>
      <c r="C30" s="7"/>
      <c r="D30" s="7"/>
      <c r="E30" s="7"/>
      <c r="F30" s="7"/>
      <c r="H30"/>
    </row>
    <row r="34" spans="1:8" s="3" customFormat="1" x14ac:dyDescent="0.2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C4F22-EB88-4CFA-A725-144B6C03B217}">
  <dimension ref="A1:H33"/>
  <sheetViews>
    <sheetView workbookViewId="0"/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43312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f>+Jun!G9</f>
        <v>11</v>
      </c>
      <c r="C9" s="7">
        <f>+Jun!F9</f>
        <v>909.27999999999986</v>
      </c>
      <c r="D9" s="7">
        <v>0</v>
      </c>
      <c r="E9" s="7">
        <f>+ROUND((C9+D9)/B9,2)</f>
        <v>82.66</v>
      </c>
      <c r="F9" s="7">
        <f>+C9+D9-E9</f>
        <v>826.61999999999989</v>
      </c>
      <c r="G9" s="10">
        <f>B9-COUNT(E9)</f>
        <v>10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s="15" t="s">
        <v>27</v>
      </c>
      <c r="B13" s="3">
        <f>+Jun!G13</f>
        <v>0</v>
      </c>
      <c r="C13" s="7">
        <f>+Jun!F13</f>
        <v>1.8189894035458565E-12</v>
      </c>
      <c r="D13" s="7">
        <v>0</v>
      </c>
      <c r="E13" s="7">
        <v>0</v>
      </c>
      <c r="F13" s="7">
        <f>+C13+D13-E13</f>
        <v>1.8189894035458565E-12</v>
      </c>
      <c r="G13" s="10">
        <f>B13-COUNT(E13)+1</f>
        <v>0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19</v>
      </c>
      <c r="C15" s="7"/>
      <c r="D15" s="7"/>
      <c r="E15" s="7"/>
      <c r="F15" s="7"/>
      <c r="G15" s="10"/>
    </row>
    <row r="16" spans="1:8" x14ac:dyDescent="0.2">
      <c r="A16" t="s">
        <v>24</v>
      </c>
      <c r="C16" s="7"/>
      <c r="D16" s="7"/>
      <c r="E16" s="7"/>
      <c r="F16" s="7"/>
      <c r="G16" s="10"/>
    </row>
    <row r="17" spans="1:8" x14ac:dyDescent="0.2">
      <c r="A17" t="s">
        <v>20</v>
      </c>
      <c r="B17" s="3">
        <f>+Jun!G17</f>
        <v>2</v>
      </c>
      <c r="C17" s="7">
        <f>+Jun!F17</f>
        <v>204.83000000000007</v>
      </c>
      <c r="D17" s="7">
        <v>0</v>
      </c>
      <c r="E17" s="7">
        <f>+ROUND((C17+D17)/B17,2)</f>
        <v>102.42</v>
      </c>
      <c r="F17" s="7">
        <f>+C17+D17-E17</f>
        <v>102.41000000000007</v>
      </c>
      <c r="G17" s="10">
        <f>B17-COUNT(E17)</f>
        <v>1</v>
      </c>
    </row>
    <row r="18" spans="1:8" x14ac:dyDescent="0.2">
      <c r="C18" s="7"/>
      <c r="D18" s="7"/>
      <c r="E18" s="7"/>
      <c r="F18" s="7"/>
    </row>
    <row r="19" spans="1:8" ht="16" thickBot="1" x14ac:dyDescent="0.25">
      <c r="C19" s="11">
        <f>SUM(C6:C18)</f>
        <v>1114.1100000000017</v>
      </c>
      <c r="D19" s="11">
        <f t="shared" ref="D19:F19" si="0">SUM(D6:D18)</f>
        <v>0</v>
      </c>
      <c r="E19" s="11">
        <f t="shared" si="0"/>
        <v>185.07999999999998</v>
      </c>
      <c r="F19" s="11">
        <f t="shared" si="0"/>
        <v>929.03000000000179</v>
      </c>
    </row>
    <row r="20" spans="1:8" x14ac:dyDescent="0.2">
      <c r="A20" s="8" t="s">
        <v>17</v>
      </c>
      <c r="C20" s="7"/>
      <c r="D20" s="7"/>
      <c r="E20" s="7"/>
      <c r="F20" s="7"/>
    </row>
    <row r="21" spans="1:8" s="3" customFormat="1" x14ac:dyDescent="0.2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">
      <c r="A22" t="s">
        <v>23</v>
      </c>
      <c r="C22" s="7"/>
      <c r="D22" s="7"/>
      <c r="E22" s="7"/>
      <c r="F22" s="7">
        <v>2794.57</v>
      </c>
      <c r="H22"/>
    </row>
    <row r="23" spans="1:8" s="3" customFormat="1" ht="16" thickBot="1" x14ac:dyDescent="0.25">
      <c r="A23"/>
      <c r="C23" s="12"/>
      <c r="D23" s="7"/>
      <c r="E23" s="7"/>
      <c r="F23" s="13">
        <f>SUM(F19:F22)</f>
        <v>6120.2200000000012</v>
      </c>
      <c r="H23"/>
    </row>
    <row r="24" spans="1:8" s="3" customFormat="1" ht="16" thickTop="1" x14ac:dyDescent="0.2">
      <c r="A24"/>
      <c r="C24" s="12"/>
      <c r="D24" s="7"/>
      <c r="E24" s="7"/>
      <c r="F24" s="7"/>
      <c r="H24"/>
    </row>
    <row r="25" spans="1:8" s="3" customFormat="1" x14ac:dyDescent="0.2">
      <c r="A25"/>
      <c r="C25" s="7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3" spans="1:8" s="3" customFormat="1" x14ac:dyDescent="0.2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2DEF-1042-49DB-9B26-DC96EEF9C3C6}">
  <dimension ref="A1:J31"/>
  <sheetViews>
    <sheetView zoomScaleNormal="100" workbookViewId="0">
      <selection activeCell="G20" sqref="G20:G24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9" ht="19" x14ac:dyDescent="0.25">
      <c r="A1" s="1" t="s">
        <v>0</v>
      </c>
      <c r="B1" s="24" t="s">
        <v>72</v>
      </c>
      <c r="H1" s="2"/>
      <c r="I1" s="1"/>
    </row>
    <row r="2" spans="1:9" x14ac:dyDescent="0.2">
      <c r="A2" s="8" t="s">
        <v>18</v>
      </c>
    </row>
    <row r="3" spans="1:9" x14ac:dyDescent="0.2">
      <c r="A3" s="14">
        <v>44377</v>
      </c>
      <c r="B3" s="3">
        <v>30</v>
      </c>
      <c r="H3" s="5"/>
      <c r="I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9" ht="15.75" customHeight="1" x14ac:dyDescent="0.2">
      <c r="A5" s="8" t="s">
        <v>1</v>
      </c>
      <c r="C5" s="7"/>
      <c r="D5" s="7"/>
      <c r="E5" s="7"/>
      <c r="F5" s="7"/>
      <c r="G5" s="7"/>
    </row>
    <row r="6" spans="1:9" x14ac:dyDescent="0.2">
      <c r="A6" t="s">
        <v>83</v>
      </c>
      <c r="B6" s="3">
        <v>213</v>
      </c>
      <c r="C6" s="7">
        <v>3204.92</v>
      </c>
      <c r="D6" s="7"/>
      <c r="E6" s="7"/>
      <c r="F6" s="7"/>
      <c r="G6" s="7">
        <f t="shared" ref="G6" si="0">+C6+D6-E6</f>
        <v>3204.92</v>
      </c>
    </row>
    <row r="7" spans="1:9" x14ac:dyDescent="0.2">
      <c r="A7" t="s">
        <v>84</v>
      </c>
      <c r="B7" s="3">
        <v>273</v>
      </c>
      <c r="C7" s="7">
        <v>0</v>
      </c>
      <c r="D7" s="7">
        <v>1511.57</v>
      </c>
      <c r="E7" s="7"/>
      <c r="F7" s="7"/>
      <c r="G7" s="7">
        <f>+C7+D7-E7-F7</f>
        <v>1511.57</v>
      </c>
    </row>
    <row r="8" spans="1:9" ht="16" thickBot="1" x14ac:dyDescent="0.25">
      <c r="C8" s="11">
        <f>SUM(C6:C7)</f>
        <v>3204.92</v>
      </c>
      <c r="D8" s="11">
        <f>SUM(D6:D7)</f>
        <v>1511.57</v>
      </c>
      <c r="E8" s="11">
        <f>SUM(E6:E7)</f>
        <v>0</v>
      </c>
      <c r="F8" s="11">
        <f>SUM(F6:F7)</f>
        <v>0</v>
      </c>
      <c r="G8" s="11">
        <f>SUM(G6:G7)</f>
        <v>4716.49</v>
      </c>
    </row>
    <row r="9" spans="1:9" x14ac:dyDescent="0.2">
      <c r="A9" s="8" t="s">
        <v>17</v>
      </c>
      <c r="C9" s="7"/>
      <c r="D9" s="7"/>
      <c r="E9" s="7"/>
      <c r="F9" s="7"/>
      <c r="G9" s="7"/>
    </row>
    <row r="10" spans="1:9" x14ac:dyDescent="0.2">
      <c r="A10" s="8" t="s">
        <v>82</v>
      </c>
      <c r="C10" s="7">
        <v>10000</v>
      </c>
      <c r="D10" s="7"/>
      <c r="E10" s="7"/>
      <c r="F10" s="7"/>
      <c r="G10" s="7">
        <f>C10+D10-E10</f>
        <v>10000</v>
      </c>
    </row>
    <row r="11" spans="1:9" s="3" customFormat="1" ht="32" x14ac:dyDescent="0.2">
      <c r="A11" s="23" t="s">
        <v>58</v>
      </c>
      <c r="C11" s="7">
        <v>1007.57</v>
      </c>
      <c r="D11" s="7"/>
      <c r="E11" s="7"/>
      <c r="F11" s="7"/>
      <c r="G11" s="7">
        <f>C11+D11-E11</f>
        <v>1007.57</v>
      </c>
      <c r="I11"/>
    </row>
    <row r="12" spans="1:9" s="3" customFormat="1" ht="16" x14ac:dyDescent="0.2">
      <c r="A12" s="22" t="s">
        <v>53</v>
      </c>
      <c r="C12" s="7">
        <v>5817.19</v>
      </c>
      <c r="D12" s="7"/>
      <c r="E12" s="7"/>
      <c r="F12" s="7"/>
      <c r="G12" s="7">
        <f t="shared" ref="G12:G24" si="1">C12+D12-E12</f>
        <v>5817.19</v>
      </c>
      <c r="I12"/>
    </row>
    <row r="13" spans="1:9" s="3" customFormat="1" ht="32" x14ac:dyDescent="0.2">
      <c r="A13" s="22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9" s="3" customFormat="1" ht="16" x14ac:dyDescent="0.2">
      <c r="A14" s="22" t="s">
        <v>75</v>
      </c>
      <c r="C14" s="7">
        <v>13850.12</v>
      </c>
      <c r="D14" s="7"/>
      <c r="E14" s="7"/>
      <c r="F14" s="7"/>
      <c r="G14" s="7">
        <f t="shared" si="1"/>
        <v>13850.12</v>
      </c>
      <c r="I14"/>
    </row>
    <row r="15" spans="1:9" s="3" customFormat="1" ht="16" x14ac:dyDescent="0.2">
      <c r="A15" s="22" t="s">
        <v>77</v>
      </c>
      <c r="B15" s="3">
        <v>122</v>
      </c>
      <c r="C15" s="7">
        <v>153.75</v>
      </c>
      <c r="D15" s="7"/>
      <c r="E15" s="7"/>
      <c r="F15" s="7"/>
      <c r="G15" s="7">
        <f t="shared" si="1"/>
        <v>153.75</v>
      </c>
      <c r="I15"/>
    </row>
    <row r="16" spans="1:9" s="3" customFormat="1" ht="16" x14ac:dyDescent="0.2">
      <c r="A16" s="22" t="s">
        <v>78</v>
      </c>
      <c r="B16" s="3">
        <v>365</v>
      </c>
      <c r="C16" s="7">
        <v>251.88</v>
      </c>
      <c r="D16" s="7"/>
      <c r="E16" s="7"/>
      <c r="F16" s="7"/>
      <c r="G16" s="7">
        <f t="shared" si="1"/>
        <v>251.88</v>
      </c>
      <c r="I16"/>
    </row>
    <row r="17" spans="1:10" s="3" customFormat="1" ht="16" x14ac:dyDescent="0.2">
      <c r="A17" s="22" t="s">
        <v>79</v>
      </c>
      <c r="B17" s="3">
        <v>365</v>
      </c>
      <c r="C17" s="7">
        <v>251.88</v>
      </c>
      <c r="D17" s="7"/>
      <c r="E17" s="7"/>
      <c r="F17" s="7"/>
      <c r="G17" s="7">
        <f t="shared" si="1"/>
        <v>251.88</v>
      </c>
      <c r="I17"/>
    </row>
    <row r="18" spans="1:10" s="3" customFormat="1" ht="16" x14ac:dyDescent="0.2">
      <c r="A18" s="22" t="s">
        <v>81</v>
      </c>
      <c r="B18" s="3">
        <v>122</v>
      </c>
      <c r="C18" s="7">
        <v>83.96</v>
      </c>
      <c r="D18" s="7"/>
      <c r="E18" s="7"/>
      <c r="F18" s="7"/>
      <c r="G18" s="7">
        <f t="shared" si="1"/>
        <v>83.96</v>
      </c>
      <c r="I18"/>
    </row>
    <row r="19" spans="1:10" s="3" customFormat="1" ht="16" x14ac:dyDescent="0.2">
      <c r="A19" s="22" t="s">
        <v>85</v>
      </c>
      <c r="B19" s="3">
        <f>251-30-31-30-31-31-28-31-30-9</f>
        <v>0</v>
      </c>
      <c r="C19" s="7">
        <v>0</v>
      </c>
      <c r="D19" s="7">
        <v>140.02000000000001</v>
      </c>
      <c r="E19" s="7"/>
      <c r="G19" s="7">
        <f t="shared" si="1"/>
        <v>140.02000000000001</v>
      </c>
      <c r="I19"/>
      <c r="J19" s="7"/>
    </row>
    <row r="20" spans="1:10" s="3" customFormat="1" ht="16" x14ac:dyDescent="0.2">
      <c r="A20" s="22" t="s">
        <v>69</v>
      </c>
      <c r="B20" s="3">
        <f>317-30-31-30-31-31-28-31-30-31-30</f>
        <v>14</v>
      </c>
      <c r="C20" s="7">
        <v>27.131640378548894</v>
      </c>
      <c r="D20" s="7"/>
      <c r="E20" s="7">
        <f>200/317*B3</f>
        <v>18.927444794952681</v>
      </c>
      <c r="G20" s="7">
        <f t="shared" si="1"/>
        <v>8.2041955835962135</v>
      </c>
      <c r="I20"/>
      <c r="J20" s="7"/>
    </row>
    <row r="21" spans="1:10" s="3" customFormat="1" ht="16" x14ac:dyDescent="0.2">
      <c r="A21" s="22" t="s">
        <v>68</v>
      </c>
      <c r="B21" s="3">
        <f>297-30-31-30-31-31-28-31-30-31</f>
        <v>24</v>
      </c>
      <c r="C21" s="7">
        <v>72.14124579124578</v>
      </c>
      <c r="D21" s="7"/>
      <c r="E21" s="7">
        <v>72.14</v>
      </c>
      <c r="G21" s="7">
        <f t="shared" si="1"/>
        <v>1.2457912457790599E-3</v>
      </c>
      <c r="I21"/>
      <c r="J21" s="7"/>
    </row>
    <row r="22" spans="1:10" s="3" customFormat="1" ht="16" x14ac:dyDescent="0.2">
      <c r="A22" s="22" t="s">
        <v>63</v>
      </c>
      <c r="B22" s="3">
        <f>309-30-31-30-31-31-28-31-30-31-30</f>
        <v>6</v>
      </c>
      <c r="C22" s="7">
        <v>15.721067961165046</v>
      </c>
      <c r="D22" s="7"/>
      <c r="E22" s="7">
        <f>138.84/309*B3</f>
        <v>13.479611650485438</v>
      </c>
      <c r="G22" s="7">
        <f t="shared" si="1"/>
        <v>2.2414563106796077</v>
      </c>
      <c r="I22"/>
      <c r="J22" s="7"/>
    </row>
    <row r="23" spans="1:10" s="3" customFormat="1" ht="16" x14ac:dyDescent="0.2">
      <c r="A23" s="22" t="s">
        <v>73</v>
      </c>
      <c r="B23" s="3">
        <f>365-31-30-31-30-31-31-28-31-30-31-30</f>
        <v>31</v>
      </c>
      <c r="C23" s="7">
        <v>56.620273972602746</v>
      </c>
      <c r="D23" s="7"/>
      <c r="E23" s="7">
        <f>343.45/365*B3</f>
        <v>28.228767123287671</v>
      </c>
      <c r="G23" s="7">
        <f t="shared" si="1"/>
        <v>28.391506849315075</v>
      </c>
      <c r="I23"/>
    </row>
    <row r="24" spans="1:10" s="3" customFormat="1" ht="16" x14ac:dyDescent="0.2">
      <c r="A24" s="22" t="s">
        <v>74</v>
      </c>
      <c r="B24" s="3">
        <v>1509</v>
      </c>
      <c r="C24" s="7">
        <v>495.34</v>
      </c>
      <c r="D24" s="7"/>
      <c r="E24" s="7"/>
      <c r="G24" s="7">
        <f t="shared" si="1"/>
        <v>495.34</v>
      </c>
      <c r="I24"/>
    </row>
    <row r="25" spans="1:10" s="3" customFormat="1" x14ac:dyDescent="0.2">
      <c r="A25"/>
      <c r="C25" s="25">
        <f>SUM(C10:C24)</f>
        <v>33105.034228103563</v>
      </c>
      <c r="D25" s="25">
        <f t="shared" ref="D25:G25" si="2">SUM(D10:D24)</f>
        <v>140.02000000000001</v>
      </c>
      <c r="E25" s="25">
        <f t="shared" si="2"/>
        <v>132.7758235687258</v>
      </c>
      <c r="F25" s="25">
        <f t="shared" si="2"/>
        <v>0</v>
      </c>
      <c r="G25" s="25">
        <f t="shared" si="2"/>
        <v>33112.278404534838</v>
      </c>
      <c r="I25"/>
    </row>
    <row r="26" spans="1:10" s="3" customFormat="1" ht="16" thickBot="1" x14ac:dyDescent="0.25">
      <c r="C26" s="26">
        <f>C8+C25</f>
        <v>36309.954228103561</v>
      </c>
      <c r="D26" s="26">
        <f>D8+D25</f>
        <v>1651.59</v>
      </c>
      <c r="E26" s="26">
        <f>E8+E25</f>
        <v>132.7758235687258</v>
      </c>
      <c r="F26" s="26">
        <f>F8+F25</f>
        <v>0</v>
      </c>
      <c r="G26" s="26">
        <f>G8+G25</f>
        <v>37828.768404534836</v>
      </c>
      <c r="I26"/>
    </row>
    <row r="27" spans="1:10" s="3" customFormat="1" ht="16" thickTop="1" x14ac:dyDescent="0.2">
      <c r="A27"/>
      <c r="C27" s="7"/>
      <c r="D27" s="7"/>
      <c r="E27" s="7"/>
      <c r="F27" s="7"/>
      <c r="G27" s="7"/>
      <c r="I27"/>
    </row>
    <row r="31" spans="1:10" s="3" customFormat="1" x14ac:dyDescent="0.2">
      <c r="A31"/>
      <c r="C31"/>
      <c r="D31"/>
      <c r="E31"/>
      <c r="F31"/>
      <c r="G31"/>
      <c r="I31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BE04-72F2-491C-B074-29DE04611E25}">
  <dimension ref="A1:H33"/>
  <sheetViews>
    <sheetView workbookViewId="0">
      <selection activeCell="A21" sqref="A21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43281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26</v>
      </c>
      <c r="C8" s="7"/>
      <c r="D8" s="7"/>
      <c r="E8" s="7"/>
      <c r="F8" s="7"/>
    </row>
    <row r="9" spans="1:8" x14ac:dyDescent="0.2">
      <c r="A9" t="s">
        <v>25</v>
      </c>
      <c r="B9" s="3">
        <v>12</v>
      </c>
      <c r="C9" s="7">
        <f>+May!F9</f>
        <v>-1.9895196601282805E-13</v>
      </c>
      <c r="D9" s="7">
        <v>991.94</v>
      </c>
      <c r="E9" s="7">
        <f>+ROUND((C9+D9)/B9,2)</f>
        <v>82.66</v>
      </c>
      <c r="F9" s="7">
        <f>+C9+D9-E9</f>
        <v>909.27999999999986</v>
      </c>
      <c r="G9" s="10">
        <f>B9-COUNT(E9)</f>
        <v>11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t="s">
        <v>13</v>
      </c>
      <c r="B13" s="3">
        <f>+May!G13</f>
        <v>1</v>
      </c>
      <c r="C13" s="7">
        <f>+May!F13</f>
        <v>775.85000000000184</v>
      </c>
      <c r="D13" s="7">
        <v>0</v>
      </c>
      <c r="E13" s="7">
        <f>+ROUND((C13+D13)/B13,2)</f>
        <v>775.85</v>
      </c>
      <c r="F13" s="7">
        <f>+C13+D13-E13</f>
        <v>1.8189894035458565E-12</v>
      </c>
      <c r="G13" s="10">
        <f>B13-COUNT(E13)</f>
        <v>0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19</v>
      </c>
      <c r="C15" s="7"/>
      <c r="D15" s="7"/>
      <c r="E15" s="7"/>
      <c r="F15" s="7"/>
      <c r="G15" s="10"/>
    </row>
    <row r="16" spans="1:8" x14ac:dyDescent="0.2">
      <c r="A16" t="s">
        <v>24</v>
      </c>
      <c r="C16" s="7"/>
      <c r="D16" s="7"/>
      <c r="E16" s="7"/>
      <c r="F16" s="7"/>
      <c r="G16" s="10"/>
    </row>
    <row r="17" spans="1:8" x14ac:dyDescent="0.2">
      <c r="A17" t="s">
        <v>20</v>
      </c>
      <c r="B17" s="3">
        <f>+May!G17</f>
        <v>3</v>
      </c>
      <c r="C17" s="7">
        <f>+May!F17</f>
        <v>307.24000000000007</v>
      </c>
      <c r="D17" s="7">
        <v>0</v>
      </c>
      <c r="E17" s="7">
        <f>+ROUND((C17+D17)/B17,2)</f>
        <v>102.41</v>
      </c>
      <c r="F17" s="7">
        <f>+C17+D17-E17</f>
        <v>204.83000000000007</v>
      </c>
      <c r="G17" s="10">
        <f>B17-COUNT(E17)</f>
        <v>2</v>
      </c>
    </row>
    <row r="18" spans="1:8" x14ac:dyDescent="0.2">
      <c r="C18" s="7"/>
      <c r="D18" s="7"/>
      <c r="E18" s="7"/>
      <c r="F18" s="7"/>
    </row>
    <row r="19" spans="1:8" ht="16" thickBot="1" x14ac:dyDescent="0.25">
      <c r="C19" s="11">
        <f>SUM(C6:C18)</f>
        <v>1083.0900000000017</v>
      </c>
      <c r="D19" s="11">
        <f t="shared" ref="D19:F19" si="0">SUM(D6:D18)</f>
        <v>991.94</v>
      </c>
      <c r="E19" s="11">
        <f t="shared" si="0"/>
        <v>960.92</v>
      </c>
      <c r="F19" s="11">
        <f t="shared" si="0"/>
        <v>1114.1100000000017</v>
      </c>
    </row>
    <row r="20" spans="1:8" x14ac:dyDescent="0.2">
      <c r="A20" s="8" t="s">
        <v>17</v>
      </c>
      <c r="C20" s="7"/>
      <c r="D20" s="7"/>
      <c r="E20" s="7"/>
      <c r="F20" s="7"/>
    </row>
    <row r="21" spans="1:8" s="3" customFormat="1" x14ac:dyDescent="0.2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">
      <c r="A22" t="s">
        <v>23</v>
      </c>
      <c r="C22" s="7"/>
      <c r="D22" s="7"/>
      <c r="E22" s="7"/>
      <c r="F22" s="7">
        <v>2794.57</v>
      </c>
      <c r="H22"/>
    </row>
    <row r="23" spans="1:8" s="3" customFormat="1" ht="16" thickBot="1" x14ac:dyDescent="0.25">
      <c r="A23"/>
      <c r="C23" s="12"/>
      <c r="D23" s="7"/>
      <c r="E23" s="7"/>
      <c r="F23" s="13">
        <f>SUM(F19:F22)</f>
        <v>6305.3000000000011</v>
      </c>
      <c r="H23"/>
    </row>
    <row r="24" spans="1:8" s="3" customFormat="1" ht="16" thickTop="1" x14ac:dyDescent="0.2">
      <c r="A24"/>
      <c r="C24" s="12"/>
      <c r="D24" s="7"/>
      <c r="E24" s="7"/>
      <c r="F24" s="7"/>
      <c r="H24"/>
    </row>
    <row r="25" spans="1:8" s="3" customFormat="1" x14ac:dyDescent="0.2">
      <c r="A25"/>
      <c r="C25" s="7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3" spans="1:8" s="3" customFormat="1" x14ac:dyDescent="0.2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92A22-42E4-40D1-A7A5-C9EC6D20B700}">
  <dimension ref="A1:H34"/>
  <sheetViews>
    <sheetView workbookViewId="0">
      <selection activeCell="E17" sqref="E17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43251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9</v>
      </c>
      <c r="C8" s="7"/>
      <c r="D8" s="7"/>
      <c r="E8" s="7"/>
      <c r="F8" s="7"/>
    </row>
    <row r="9" spans="1:8" x14ac:dyDescent="0.2">
      <c r="A9" t="s">
        <v>10</v>
      </c>
      <c r="B9" s="3">
        <f>+Apr!G9</f>
        <v>1</v>
      </c>
      <c r="C9" s="7">
        <f>+Apr!F9</f>
        <v>80.489999999999796</v>
      </c>
      <c r="D9" s="7">
        <v>0</v>
      </c>
      <c r="E9" s="7">
        <f>+ROUND(C9/B9,2)</f>
        <v>80.489999999999995</v>
      </c>
      <c r="F9" s="7">
        <f>+C9+D9-E9</f>
        <v>-1.9895196601282805E-13</v>
      </c>
      <c r="G9" s="10">
        <f>B9-COUNT(E9)</f>
        <v>0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t="s">
        <v>13</v>
      </c>
      <c r="B13" s="3">
        <f>+Apr!G13</f>
        <v>2</v>
      </c>
      <c r="C13" s="7">
        <f>+Apr!F13</f>
        <v>1551.7100000000019</v>
      </c>
      <c r="D13" s="7">
        <v>0</v>
      </c>
      <c r="E13" s="7">
        <f>+ROUND(C13/B13,2)</f>
        <v>775.86</v>
      </c>
      <c r="F13" s="7">
        <f>+C13+D13-E13</f>
        <v>775.85000000000184</v>
      </c>
      <c r="G13" s="10">
        <f>B13-COUNT(E13)</f>
        <v>1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19</v>
      </c>
      <c r="C15" s="7"/>
      <c r="D15" s="7"/>
      <c r="E15" s="7"/>
      <c r="F15" s="7"/>
      <c r="G15" s="10"/>
    </row>
    <row r="16" spans="1:8" x14ac:dyDescent="0.2">
      <c r="A16" t="s">
        <v>24</v>
      </c>
      <c r="C16" s="7"/>
      <c r="D16" s="7"/>
      <c r="E16" s="7"/>
      <c r="F16" s="7"/>
      <c r="G16" s="10"/>
    </row>
    <row r="17" spans="1:8" x14ac:dyDescent="0.2">
      <c r="A17" t="s">
        <v>20</v>
      </c>
      <c r="B17" s="3">
        <f>+Apr!G17</f>
        <v>4</v>
      </c>
      <c r="C17" s="7">
        <f>+Apr!F17</f>
        <v>409.66000000000008</v>
      </c>
      <c r="D17" s="7">
        <v>0</v>
      </c>
      <c r="E17" s="7">
        <f>+ROUND(C17/B17,2)</f>
        <v>102.42</v>
      </c>
      <c r="F17" s="7">
        <f>+C17+D17-E17</f>
        <v>307.24000000000007</v>
      </c>
      <c r="G17" s="10">
        <f>B17-COUNT(E17)</f>
        <v>3</v>
      </c>
    </row>
    <row r="18" spans="1:8" x14ac:dyDescent="0.2">
      <c r="C18" s="7"/>
      <c r="D18" s="7"/>
      <c r="E18" s="7"/>
      <c r="F18" s="7"/>
    </row>
    <row r="19" spans="1:8" ht="16" thickBot="1" x14ac:dyDescent="0.25">
      <c r="C19" s="11">
        <f>SUM(C6:C18)</f>
        <v>2041.8600000000017</v>
      </c>
      <c r="D19" s="11">
        <f t="shared" ref="D19:F19" si="0">SUM(D6:D18)</f>
        <v>0</v>
      </c>
      <c r="E19" s="11">
        <f t="shared" si="0"/>
        <v>958.77</v>
      </c>
      <c r="F19" s="11">
        <f t="shared" si="0"/>
        <v>1083.0900000000017</v>
      </c>
    </row>
    <row r="20" spans="1:8" x14ac:dyDescent="0.2">
      <c r="A20" s="8" t="s">
        <v>17</v>
      </c>
      <c r="C20" s="7"/>
      <c r="D20" s="7"/>
      <c r="E20" s="7"/>
      <c r="F20" s="7"/>
    </row>
    <row r="21" spans="1:8" s="3" customFormat="1" x14ac:dyDescent="0.2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">
      <c r="A22" t="s">
        <v>15</v>
      </c>
      <c r="C22" s="7"/>
      <c r="D22" s="7"/>
      <c r="E22" s="7"/>
      <c r="F22" s="7">
        <v>3500</v>
      </c>
      <c r="H22"/>
    </row>
    <row r="23" spans="1:8" s="3" customFormat="1" x14ac:dyDescent="0.2">
      <c r="A23" t="s">
        <v>23</v>
      </c>
      <c r="C23" s="7"/>
      <c r="D23" s="7"/>
      <c r="E23" s="7"/>
      <c r="F23" s="7">
        <v>2794.57</v>
      </c>
      <c r="H23"/>
    </row>
    <row r="24" spans="1:8" s="3" customFormat="1" ht="16" thickBot="1" x14ac:dyDescent="0.25">
      <c r="A24"/>
      <c r="C24" s="12"/>
      <c r="D24" s="7"/>
      <c r="E24" s="7"/>
      <c r="F24" s="13">
        <f>SUM(F19:F23)</f>
        <v>9774.2800000000025</v>
      </c>
      <c r="H24"/>
    </row>
    <row r="25" spans="1:8" s="3" customFormat="1" ht="16" thickTop="1" x14ac:dyDescent="0.2">
      <c r="A25"/>
      <c r="C25" s="12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0" spans="1:8" s="3" customFormat="1" x14ac:dyDescent="0.2">
      <c r="A30"/>
      <c r="C30" s="7"/>
      <c r="D30" s="7"/>
      <c r="E30" s="7"/>
      <c r="F30" s="7"/>
      <c r="H30"/>
    </row>
    <row r="34" spans="1:8" s="3" customFormat="1" x14ac:dyDescent="0.2">
      <c r="A34"/>
      <c r="C34"/>
      <c r="D34"/>
      <c r="E34"/>
      <c r="F34"/>
      <c r="H34"/>
    </row>
  </sheetData>
  <pageMargins left="1" right="1" top="1" bottom="1" header="0.5" footer="0.5"/>
  <pageSetup orientation="landscape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6F46-8247-42FE-B0A6-743821A34E32}">
  <dimension ref="A1:H33"/>
  <sheetViews>
    <sheetView workbookViewId="0">
      <selection activeCell="A18" sqref="A18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43220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9</v>
      </c>
      <c r="C8" s="7"/>
      <c r="D8" s="7"/>
      <c r="E8" s="7"/>
      <c r="F8" s="7"/>
    </row>
    <row r="9" spans="1:8" x14ac:dyDescent="0.2">
      <c r="A9" t="s">
        <v>10</v>
      </c>
      <c r="B9" s="3">
        <f>+Mar!G9</f>
        <v>2</v>
      </c>
      <c r="C9" s="7">
        <f>+Mar!F9</f>
        <v>160.9699999999998</v>
      </c>
      <c r="D9" s="7">
        <v>0</v>
      </c>
      <c r="E9" s="7">
        <f>+ROUND(C9/B9,2)</f>
        <v>80.48</v>
      </c>
      <c r="F9" s="7">
        <f>+C9+D9-E9</f>
        <v>80.489999999999796</v>
      </c>
      <c r="G9" s="10">
        <f>B9-COUNT(E9)</f>
        <v>1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t="s">
        <v>13</v>
      </c>
      <c r="B13" s="3">
        <f>+Mar!G13</f>
        <v>3</v>
      </c>
      <c r="C13" s="7">
        <f>+Mar!F13</f>
        <v>2327.5600000000018</v>
      </c>
      <c r="D13" s="7">
        <v>0</v>
      </c>
      <c r="E13" s="7">
        <f>+ROUND(C13/B13,2)</f>
        <v>775.85</v>
      </c>
      <c r="F13" s="7">
        <f>+C13+D13-E13</f>
        <v>1551.7100000000019</v>
      </c>
      <c r="G13" s="10">
        <f>B13-COUNT(E13)</f>
        <v>2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19</v>
      </c>
      <c r="C15" s="7"/>
      <c r="D15" s="7"/>
      <c r="E15" s="7"/>
      <c r="F15" s="7"/>
      <c r="G15" s="10"/>
    </row>
    <row r="16" spans="1:8" x14ac:dyDescent="0.2">
      <c r="A16" t="s">
        <v>21</v>
      </c>
      <c r="C16" s="7"/>
      <c r="D16" s="7"/>
      <c r="E16" s="7"/>
      <c r="F16" s="7"/>
      <c r="G16" s="10"/>
    </row>
    <row r="17" spans="1:8" x14ac:dyDescent="0.2">
      <c r="A17" t="s">
        <v>20</v>
      </c>
      <c r="B17" s="3">
        <f>+Mar!G17</f>
        <v>5</v>
      </c>
      <c r="C17" s="7">
        <f>+Mar!F17</f>
        <v>512.07000000000005</v>
      </c>
      <c r="D17" s="7">
        <v>0</v>
      </c>
      <c r="E17" s="7">
        <f>+ROUND(C17/B17,2)</f>
        <v>102.41</v>
      </c>
      <c r="F17" s="7">
        <f>+C17+D17-E17</f>
        <v>409.66000000000008</v>
      </c>
      <c r="G17" s="10">
        <f>B17-COUNT(E17)</f>
        <v>4</v>
      </c>
    </row>
    <row r="18" spans="1:8" x14ac:dyDescent="0.2">
      <c r="C18" s="7"/>
      <c r="D18" s="7"/>
      <c r="E18" s="7"/>
      <c r="F18" s="7"/>
    </row>
    <row r="19" spans="1:8" ht="16" thickBot="1" x14ac:dyDescent="0.25">
      <c r="C19" s="11">
        <f>SUM(C6:C18)</f>
        <v>3000.6000000000017</v>
      </c>
      <c r="D19" s="11">
        <f t="shared" ref="D19:F19" si="0">SUM(D6:D18)</f>
        <v>0</v>
      </c>
      <c r="E19" s="11">
        <f t="shared" si="0"/>
        <v>958.74</v>
      </c>
      <c r="F19" s="11">
        <f t="shared" si="0"/>
        <v>2041.8600000000017</v>
      </c>
    </row>
    <row r="20" spans="1:8" x14ac:dyDescent="0.2">
      <c r="A20" s="8" t="s">
        <v>17</v>
      </c>
      <c r="C20" s="7"/>
      <c r="D20" s="7"/>
      <c r="E20" s="7"/>
      <c r="F20" s="7"/>
    </row>
    <row r="21" spans="1:8" s="3" customFormat="1" x14ac:dyDescent="0.2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">
      <c r="A22" t="s">
        <v>15</v>
      </c>
      <c r="C22" s="7"/>
      <c r="D22" s="7"/>
      <c r="E22" s="7"/>
      <c r="F22" s="7">
        <v>3500</v>
      </c>
      <c r="H22"/>
    </row>
    <row r="23" spans="1:8" s="3" customFormat="1" ht="16" thickBot="1" x14ac:dyDescent="0.25">
      <c r="A23"/>
      <c r="C23" s="12"/>
      <c r="D23" s="7"/>
      <c r="E23" s="7"/>
      <c r="F23" s="13">
        <f>SUM(F19:F22)</f>
        <v>7938.4800000000014</v>
      </c>
      <c r="H23"/>
    </row>
    <row r="24" spans="1:8" s="3" customFormat="1" ht="16" thickTop="1" x14ac:dyDescent="0.2">
      <c r="A24"/>
      <c r="C24" s="12"/>
      <c r="D24" s="7"/>
      <c r="E24" s="7"/>
      <c r="F24" s="7"/>
      <c r="H24"/>
    </row>
    <row r="25" spans="1:8" s="3" customFormat="1" x14ac:dyDescent="0.2">
      <c r="A25"/>
      <c r="C25" s="7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3" spans="1:8" s="3" customFormat="1" x14ac:dyDescent="0.2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2D83-7846-4318-942D-1CA8F589C090}">
  <dimension ref="A1:H33"/>
  <sheetViews>
    <sheetView workbookViewId="0">
      <selection activeCell="A24" sqref="A24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43190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9</v>
      </c>
      <c r="C8" s="7"/>
      <c r="D8" s="7"/>
      <c r="E8" s="7"/>
      <c r="F8" s="7"/>
    </row>
    <row r="9" spans="1:8" x14ac:dyDescent="0.2">
      <c r="A9" t="s">
        <v>10</v>
      </c>
      <c r="B9" s="3">
        <f>+Feb!G9</f>
        <v>3</v>
      </c>
      <c r="C9" s="7">
        <f>+Feb!F9</f>
        <v>241.44999999999982</v>
      </c>
      <c r="D9" s="7">
        <v>0</v>
      </c>
      <c r="E9" s="7">
        <f>+ROUND(C9/B9,2)</f>
        <v>80.48</v>
      </c>
      <c r="F9" s="7">
        <f>+C9+D9-E9</f>
        <v>160.9699999999998</v>
      </c>
      <c r="G9" s="10">
        <f>B9-COUNT(E9)</f>
        <v>2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t="s">
        <v>13</v>
      </c>
      <c r="B13" s="3">
        <f>+Feb!G13</f>
        <v>4</v>
      </c>
      <c r="C13" s="7">
        <f>+Feb!F13</f>
        <v>3103.4200000000019</v>
      </c>
      <c r="D13" s="7">
        <v>0</v>
      </c>
      <c r="E13" s="7">
        <f>+ROUND(C13/B13,2)</f>
        <v>775.86</v>
      </c>
      <c r="F13" s="7">
        <f>+C13+D13-E13</f>
        <v>2327.5600000000018</v>
      </c>
      <c r="G13" s="10">
        <f>B13-COUNT(E13)</f>
        <v>3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19</v>
      </c>
      <c r="C15" s="7"/>
      <c r="D15" s="7"/>
      <c r="E15" s="7"/>
      <c r="F15" s="7"/>
      <c r="G15" s="10"/>
    </row>
    <row r="16" spans="1:8" x14ac:dyDescent="0.2">
      <c r="A16" t="s">
        <v>21</v>
      </c>
      <c r="C16" s="7"/>
      <c r="D16" s="7"/>
      <c r="E16" s="7"/>
      <c r="F16" s="7"/>
      <c r="G16" s="10"/>
    </row>
    <row r="17" spans="1:8" x14ac:dyDescent="0.2">
      <c r="A17" t="s">
        <v>22</v>
      </c>
      <c r="B17" s="3">
        <f>+Feb!G17</f>
        <v>6</v>
      </c>
      <c r="C17" s="7">
        <f>+Feb!F17</f>
        <v>614.49</v>
      </c>
      <c r="D17" s="7">
        <v>0</v>
      </c>
      <c r="E17" s="7">
        <f>+ROUND(C17/B17,2)</f>
        <v>102.42</v>
      </c>
      <c r="F17" s="7">
        <f>+C17+D17-E17</f>
        <v>512.07000000000005</v>
      </c>
      <c r="G17" s="10">
        <f>B17-COUNT(E17)</f>
        <v>5</v>
      </c>
    </row>
    <row r="18" spans="1:8" x14ac:dyDescent="0.2">
      <c r="C18" s="7"/>
      <c r="D18" s="7"/>
      <c r="E18" s="7"/>
      <c r="F18" s="7"/>
    </row>
    <row r="19" spans="1:8" ht="16" thickBot="1" x14ac:dyDescent="0.25">
      <c r="C19" s="11">
        <f>SUM(C6:C18)</f>
        <v>3959.3600000000015</v>
      </c>
      <c r="D19" s="11">
        <f t="shared" ref="D19:F19" si="0">SUM(D6:D18)</f>
        <v>0</v>
      </c>
      <c r="E19" s="11">
        <f t="shared" si="0"/>
        <v>958.76</v>
      </c>
      <c r="F19" s="11">
        <f t="shared" si="0"/>
        <v>3000.6000000000017</v>
      </c>
    </row>
    <row r="20" spans="1:8" x14ac:dyDescent="0.2">
      <c r="A20" s="8" t="s">
        <v>17</v>
      </c>
      <c r="C20" s="7"/>
      <c r="D20" s="7"/>
      <c r="E20" s="7"/>
      <c r="F20" s="7"/>
    </row>
    <row r="21" spans="1:8" s="3" customFormat="1" x14ac:dyDescent="0.2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">
      <c r="A22" t="s">
        <v>15</v>
      </c>
      <c r="C22" s="7"/>
      <c r="D22" s="7"/>
      <c r="E22" s="7"/>
      <c r="F22" s="7">
        <v>3500</v>
      </c>
      <c r="H22"/>
    </row>
    <row r="23" spans="1:8" s="3" customFormat="1" ht="16" thickBot="1" x14ac:dyDescent="0.25">
      <c r="A23"/>
      <c r="C23" s="12"/>
      <c r="D23" s="7"/>
      <c r="E23" s="7"/>
      <c r="F23" s="13">
        <f>SUM(F19:F22)</f>
        <v>8897.2200000000012</v>
      </c>
      <c r="H23"/>
    </row>
    <row r="24" spans="1:8" s="3" customFormat="1" ht="16" thickTop="1" x14ac:dyDescent="0.2">
      <c r="A24"/>
      <c r="C24" s="12"/>
      <c r="D24" s="7"/>
      <c r="E24" s="7"/>
      <c r="F24" s="7"/>
      <c r="H24"/>
    </row>
    <row r="25" spans="1:8" s="3" customFormat="1" x14ac:dyDescent="0.2">
      <c r="A25"/>
      <c r="C25" s="7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3" spans="1:8" s="3" customFormat="1" x14ac:dyDescent="0.2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3579B-773D-4CA0-8526-F2C3A37E9C06}">
  <dimension ref="A1:H33"/>
  <sheetViews>
    <sheetView workbookViewId="0">
      <selection activeCell="A29" sqref="A29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43159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9</v>
      </c>
      <c r="C8" s="7"/>
      <c r="D8" s="7"/>
      <c r="E8" s="7"/>
      <c r="F8" s="7"/>
    </row>
    <row r="9" spans="1:8" x14ac:dyDescent="0.2">
      <c r="A9" t="s">
        <v>10</v>
      </c>
      <c r="B9" s="3">
        <f>+Jan!G9</f>
        <v>4</v>
      </c>
      <c r="C9" s="7">
        <f>+Jan!F9</f>
        <v>321.93999999999983</v>
      </c>
      <c r="D9" s="7">
        <v>0</v>
      </c>
      <c r="E9" s="7">
        <f>+ROUND(C9/B9,2)</f>
        <v>80.489999999999995</v>
      </c>
      <c r="F9" s="7">
        <f>+C9+D9-E9</f>
        <v>241.44999999999982</v>
      </c>
      <c r="G9" s="10">
        <f>B9-COUNT(E9)</f>
        <v>3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t="s">
        <v>13</v>
      </c>
      <c r="B13" s="3">
        <f>+Jan!G13</f>
        <v>5</v>
      </c>
      <c r="C13" s="7">
        <f>+Jan!F13</f>
        <v>3879.2700000000018</v>
      </c>
      <c r="D13" s="7">
        <v>0</v>
      </c>
      <c r="E13" s="7">
        <f>+ROUND(C13/B13,2)</f>
        <v>775.85</v>
      </c>
      <c r="F13" s="7">
        <f>+C13+D13-E13</f>
        <v>3103.4200000000019</v>
      </c>
      <c r="G13" s="10">
        <f>B13-COUNT(E13)</f>
        <v>4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19</v>
      </c>
      <c r="C15" s="7"/>
      <c r="D15" s="7"/>
      <c r="E15" s="7"/>
      <c r="F15" s="7"/>
      <c r="G15" s="10"/>
    </row>
    <row r="16" spans="1:8" x14ac:dyDescent="0.2">
      <c r="A16" t="s">
        <v>21</v>
      </c>
      <c r="C16" s="7"/>
      <c r="D16" s="7"/>
      <c r="E16" s="7"/>
      <c r="F16" s="7"/>
      <c r="G16" s="10"/>
    </row>
    <row r="17" spans="1:8" x14ac:dyDescent="0.2">
      <c r="A17" t="s">
        <v>20</v>
      </c>
      <c r="B17" s="3">
        <f>+Jan!G17</f>
        <v>7</v>
      </c>
      <c r="C17" s="7">
        <f>+Jan!F17</f>
        <v>716.9</v>
      </c>
      <c r="D17" s="7">
        <v>0</v>
      </c>
      <c r="E17" s="7">
        <f>+ROUND(C17/B17,2)</f>
        <v>102.41</v>
      </c>
      <c r="F17" s="7">
        <f>+C17+D17-E17</f>
        <v>614.49</v>
      </c>
      <c r="G17" s="10">
        <f>B17-COUNT(E17)</f>
        <v>6</v>
      </c>
    </row>
    <row r="18" spans="1:8" x14ac:dyDescent="0.2">
      <c r="C18" s="7"/>
      <c r="D18" s="7"/>
      <c r="E18" s="7"/>
      <c r="F18" s="7"/>
    </row>
    <row r="19" spans="1:8" ht="16" thickBot="1" x14ac:dyDescent="0.25">
      <c r="C19" s="11">
        <f>SUM(C6:C18)</f>
        <v>4918.1100000000015</v>
      </c>
      <c r="D19" s="11">
        <f t="shared" ref="D19:F19" si="0">SUM(D6:D18)</f>
        <v>0</v>
      </c>
      <c r="E19" s="11">
        <f t="shared" si="0"/>
        <v>958.75</v>
      </c>
      <c r="F19" s="11">
        <f t="shared" si="0"/>
        <v>3959.3600000000015</v>
      </c>
    </row>
    <row r="20" spans="1:8" x14ac:dyDescent="0.2">
      <c r="A20" s="8" t="s">
        <v>17</v>
      </c>
      <c r="C20" s="7"/>
      <c r="D20" s="7"/>
      <c r="E20" s="7"/>
      <c r="F20" s="7"/>
    </row>
    <row r="21" spans="1:8" s="3" customFormat="1" x14ac:dyDescent="0.2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">
      <c r="A22" t="s">
        <v>15</v>
      </c>
      <c r="C22" s="7"/>
      <c r="D22" s="7"/>
      <c r="E22" s="7"/>
      <c r="F22" s="7">
        <v>3500</v>
      </c>
      <c r="H22"/>
    </row>
    <row r="23" spans="1:8" s="3" customFormat="1" ht="16" thickBot="1" x14ac:dyDescent="0.25">
      <c r="A23"/>
      <c r="C23" s="12"/>
      <c r="D23" s="7"/>
      <c r="E23" s="7"/>
      <c r="F23" s="13">
        <f>SUM(F19:F22)</f>
        <v>9855.9800000000014</v>
      </c>
      <c r="H23"/>
    </row>
    <row r="24" spans="1:8" s="3" customFormat="1" ht="16" thickTop="1" x14ac:dyDescent="0.2">
      <c r="A24"/>
      <c r="C24" s="12"/>
      <c r="D24" s="7"/>
      <c r="E24" s="7"/>
      <c r="F24" s="7"/>
      <c r="H24"/>
    </row>
    <row r="25" spans="1:8" s="3" customFormat="1" x14ac:dyDescent="0.2">
      <c r="A25"/>
      <c r="C25" s="7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3" spans="1:8" s="3" customFormat="1" x14ac:dyDescent="0.2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F438-038D-4671-9614-B3311E84438A}">
  <dimension ref="A1:H33"/>
  <sheetViews>
    <sheetView workbookViewId="0">
      <selection activeCell="A33" sqref="A33"/>
    </sheetView>
  </sheetViews>
  <sheetFormatPr baseColWidth="10" defaultColWidth="8.83203125" defaultRowHeight="15" x14ac:dyDescent="0.2"/>
  <cols>
    <col min="1" max="1" width="48.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43131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9</v>
      </c>
      <c r="C8" s="7"/>
      <c r="D8" s="7"/>
      <c r="E8" s="7"/>
      <c r="F8" s="7"/>
    </row>
    <row r="9" spans="1:8" x14ac:dyDescent="0.2">
      <c r="A9" t="s">
        <v>10</v>
      </c>
      <c r="B9" s="3">
        <f>+'Dec 2017'!G9</f>
        <v>5</v>
      </c>
      <c r="C9" s="7">
        <f>+'Dec 2017'!F9</f>
        <v>402.42999999999984</v>
      </c>
      <c r="D9" s="7">
        <v>0</v>
      </c>
      <c r="E9" s="7">
        <f>+ROUND(C9/B9,2)</f>
        <v>80.489999999999995</v>
      </c>
      <c r="F9" s="7">
        <f>+C9+D9-E9</f>
        <v>321.93999999999983</v>
      </c>
      <c r="G9" s="10">
        <f>B9-COUNT(E9)</f>
        <v>4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t="s">
        <v>13</v>
      </c>
      <c r="B13" s="3">
        <f>+'Dec 2017'!G13</f>
        <v>6</v>
      </c>
      <c r="C13" s="7">
        <f>+'Dec 2017'!F13</f>
        <v>4655.1300000000019</v>
      </c>
      <c r="D13" s="7">
        <v>0</v>
      </c>
      <c r="E13" s="7">
        <f>+ROUND(C13/B13,2)</f>
        <v>775.86</v>
      </c>
      <c r="F13" s="7">
        <f>+C13+D13-E13</f>
        <v>3879.2700000000018</v>
      </c>
      <c r="G13" s="10">
        <f>B13-COUNT(E13)</f>
        <v>5</v>
      </c>
    </row>
    <row r="14" spans="1:8" x14ac:dyDescent="0.2">
      <c r="C14" s="7"/>
      <c r="D14" s="7"/>
      <c r="E14" s="7"/>
      <c r="F14" s="7"/>
      <c r="G14" s="10"/>
    </row>
    <row r="15" spans="1:8" x14ac:dyDescent="0.2">
      <c r="A15" t="s">
        <v>19</v>
      </c>
      <c r="C15" s="7"/>
      <c r="D15" s="7"/>
      <c r="E15" s="7"/>
      <c r="F15" s="7"/>
      <c r="G15" s="10"/>
    </row>
    <row r="16" spans="1:8" x14ac:dyDescent="0.2">
      <c r="A16" t="s">
        <v>21</v>
      </c>
      <c r="C16" s="7"/>
      <c r="D16" s="7"/>
      <c r="E16" s="7"/>
      <c r="F16" s="7"/>
      <c r="G16" s="10"/>
    </row>
    <row r="17" spans="1:8" x14ac:dyDescent="0.2">
      <c r="A17" t="s">
        <v>20</v>
      </c>
      <c r="B17" s="3">
        <v>8</v>
      </c>
      <c r="C17" s="7">
        <v>0</v>
      </c>
      <c r="D17" s="7">
        <v>819.31</v>
      </c>
      <c r="E17" s="7">
        <f>+ROUND(D17/B17,2)</f>
        <v>102.41</v>
      </c>
      <c r="F17" s="7">
        <f>+C17+D17-E17</f>
        <v>716.9</v>
      </c>
      <c r="G17" s="10">
        <f>B17-COUNT(E17)</f>
        <v>7</v>
      </c>
    </row>
    <row r="18" spans="1:8" x14ac:dyDescent="0.2">
      <c r="C18" s="7"/>
      <c r="D18" s="7"/>
      <c r="E18" s="7"/>
      <c r="F18" s="7"/>
    </row>
    <row r="19" spans="1:8" ht="16" thickBot="1" x14ac:dyDescent="0.25">
      <c r="C19" s="11">
        <f>SUM(C6:C18)</f>
        <v>5057.5600000000013</v>
      </c>
      <c r="D19" s="11">
        <f t="shared" ref="D19:F19" si="0">SUM(D6:D18)</f>
        <v>819.31</v>
      </c>
      <c r="E19" s="11">
        <f t="shared" si="0"/>
        <v>958.76</v>
      </c>
      <c r="F19" s="11">
        <f t="shared" si="0"/>
        <v>4918.1100000000015</v>
      </c>
    </row>
    <row r="20" spans="1:8" x14ac:dyDescent="0.2">
      <c r="A20" s="8" t="s">
        <v>17</v>
      </c>
      <c r="C20" s="7"/>
      <c r="D20" s="7"/>
      <c r="E20" s="7"/>
      <c r="F20" s="7"/>
    </row>
    <row r="21" spans="1:8" s="3" customFormat="1" x14ac:dyDescent="0.2">
      <c r="A21" t="s">
        <v>14</v>
      </c>
      <c r="C21" s="7"/>
      <c r="D21" s="7"/>
      <c r="E21" s="7"/>
      <c r="F21" s="7">
        <v>2396.62</v>
      </c>
      <c r="H21"/>
    </row>
    <row r="22" spans="1:8" s="3" customFormat="1" x14ac:dyDescent="0.2">
      <c r="A22" t="s">
        <v>15</v>
      </c>
      <c r="C22" s="7"/>
      <c r="D22" s="7"/>
      <c r="E22" s="7"/>
      <c r="F22" s="7">
        <v>3500</v>
      </c>
      <c r="H22"/>
    </row>
    <row r="23" spans="1:8" s="3" customFormat="1" ht="16" thickBot="1" x14ac:dyDescent="0.25">
      <c r="A23"/>
      <c r="C23" s="12"/>
      <c r="D23" s="7"/>
      <c r="E23" s="7"/>
      <c r="F23" s="13">
        <f>SUM(F19:F22)</f>
        <v>10814.730000000001</v>
      </c>
      <c r="H23"/>
    </row>
    <row r="24" spans="1:8" s="3" customFormat="1" ht="16" thickTop="1" x14ac:dyDescent="0.2">
      <c r="A24"/>
      <c r="C24" s="12"/>
      <c r="D24" s="7"/>
      <c r="E24" s="7"/>
      <c r="F24" s="7"/>
      <c r="H24"/>
    </row>
    <row r="25" spans="1:8" s="3" customFormat="1" x14ac:dyDescent="0.2">
      <c r="A25"/>
      <c r="C25" s="7"/>
      <c r="D25" s="7"/>
      <c r="E25" s="7"/>
      <c r="F25" s="7"/>
      <c r="H25"/>
    </row>
    <row r="26" spans="1:8" s="3" customFormat="1" x14ac:dyDescent="0.2">
      <c r="A26"/>
      <c r="C26" s="7"/>
      <c r="D26" s="7"/>
      <c r="E26" s="7"/>
      <c r="F26" s="7"/>
      <c r="H26"/>
    </row>
    <row r="27" spans="1:8" s="3" customFormat="1" x14ac:dyDescent="0.2">
      <c r="A27"/>
      <c r="C27" s="7"/>
      <c r="D27" s="7"/>
      <c r="E27" s="7"/>
      <c r="F27" s="7"/>
      <c r="H27"/>
    </row>
    <row r="28" spans="1:8" s="3" customFormat="1" x14ac:dyDescent="0.2">
      <c r="A28"/>
      <c r="C28" s="7"/>
      <c r="D28" s="7"/>
      <c r="E28" s="7"/>
      <c r="F28" s="7"/>
      <c r="H28"/>
    </row>
    <row r="29" spans="1:8" s="3" customFormat="1" x14ac:dyDescent="0.2">
      <c r="A29"/>
      <c r="C29" s="7"/>
      <c r="D29" s="7"/>
      <c r="E29" s="7"/>
      <c r="F29" s="7"/>
      <c r="H29"/>
    </row>
    <row r="33" spans="1:8" s="3" customFormat="1" x14ac:dyDescent="0.2">
      <c r="A33"/>
      <c r="C33"/>
      <c r="D33"/>
      <c r="E33"/>
      <c r="F33"/>
      <c r="H33"/>
    </row>
  </sheetData>
  <pageMargins left="1" right="1" top="1" bottom="1" header="0.5" footer="0.5"/>
  <pageSetup orientation="landscape" horizontalDpi="4294967293" vertic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A73A-94D4-4BF1-BC2C-F4B8DAAFFE26}">
  <dimension ref="A1:H29"/>
  <sheetViews>
    <sheetView workbookViewId="0">
      <selection activeCell="C35" sqref="C35"/>
    </sheetView>
  </sheetViews>
  <sheetFormatPr baseColWidth="10" defaultColWidth="8.83203125" defaultRowHeight="15" x14ac:dyDescent="0.2"/>
  <cols>
    <col min="1" max="1" width="43.6640625" customWidth="1"/>
    <col min="2" max="2" width="5.6640625" style="3" customWidth="1"/>
    <col min="3" max="6" width="12.6640625" customWidth="1"/>
    <col min="7" max="7" width="5.6640625" style="3" customWidth="1"/>
    <col min="8" max="8" width="5.6640625" customWidth="1"/>
  </cols>
  <sheetData>
    <row r="1" spans="1:8" ht="19" x14ac:dyDescent="0.25">
      <c r="A1" s="1" t="s">
        <v>0</v>
      </c>
      <c r="B1" s="2"/>
      <c r="G1" s="2"/>
      <c r="H1" s="1"/>
    </row>
    <row r="2" spans="1:8" x14ac:dyDescent="0.2">
      <c r="A2" s="8" t="s">
        <v>18</v>
      </c>
    </row>
    <row r="3" spans="1:8" x14ac:dyDescent="0.2">
      <c r="A3" s="14">
        <v>43100</v>
      </c>
      <c r="B3" s="5"/>
      <c r="G3" s="5"/>
      <c r="H3" s="4"/>
    </row>
    <row r="4" spans="1:8" x14ac:dyDescent="0.2">
      <c r="B4" s="3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3" t="s">
        <v>2</v>
      </c>
    </row>
    <row r="5" spans="1:8" x14ac:dyDescent="0.2">
      <c r="A5" s="8" t="s">
        <v>1</v>
      </c>
      <c r="C5" s="7"/>
      <c r="D5" s="7"/>
      <c r="E5" s="7"/>
      <c r="F5" s="7"/>
    </row>
    <row r="6" spans="1:8" x14ac:dyDescent="0.2">
      <c r="A6" t="s">
        <v>7</v>
      </c>
      <c r="B6" s="9"/>
      <c r="C6" s="7"/>
      <c r="D6" s="7"/>
      <c r="E6" s="7"/>
      <c r="F6" s="7"/>
      <c r="G6" s="9"/>
      <c r="H6" s="8"/>
    </row>
    <row r="7" spans="1:8" x14ac:dyDescent="0.2">
      <c r="A7" t="s">
        <v>8</v>
      </c>
      <c r="C7" s="7"/>
      <c r="D7" s="7"/>
      <c r="E7" s="7"/>
      <c r="F7" s="7"/>
    </row>
    <row r="8" spans="1:8" x14ac:dyDescent="0.2">
      <c r="A8" t="s">
        <v>9</v>
      </c>
      <c r="C8" s="7"/>
      <c r="D8" s="7"/>
      <c r="E8" s="7"/>
      <c r="F8" s="7"/>
    </row>
    <row r="9" spans="1:8" x14ac:dyDescent="0.2">
      <c r="A9" t="s">
        <v>10</v>
      </c>
      <c r="B9" s="3">
        <f>+'[1]Nov 30'!G9</f>
        <v>6</v>
      </c>
      <c r="C9" s="7">
        <f>+'[1]Nov 30'!F9</f>
        <v>482.91999999999985</v>
      </c>
      <c r="D9" s="7">
        <v>0</v>
      </c>
      <c r="E9" s="7">
        <f>+ROUND(C9/B9,2)</f>
        <v>80.489999999999995</v>
      </c>
      <c r="F9" s="7">
        <f>+C9+D9-E9</f>
        <v>402.42999999999984</v>
      </c>
      <c r="G9" s="10">
        <f>B9-COUNT(E9)</f>
        <v>5</v>
      </c>
    </row>
    <row r="10" spans="1:8" x14ac:dyDescent="0.2">
      <c r="C10" s="7"/>
      <c r="D10" s="7"/>
      <c r="E10" s="7"/>
      <c r="F10" s="7"/>
    </row>
    <row r="11" spans="1:8" x14ac:dyDescent="0.2">
      <c r="A11" t="s">
        <v>11</v>
      </c>
      <c r="C11" s="7"/>
      <c r="D11" s="7"/>
      <c r="E11" s="7"/>
      <c r="F11" s="7"/>
    </row>
    <row r="12" spans="1:8" x14ac:dyDescent="0.2">
      <c r="A12" t="s">
        <v>12</v>
      </c>
      <c r="C12" s="7"/>
      <c r="D12" s="7"/>
      <c r="E12" s="7"/>
      <c r="F12" s="7"/>
    </row>
    <row r="13" spans="1:8" x14ac:dyDescent="0.2">
      <c r="A13" t="s">
        <v>13</v>
      </c>
      <c r="B13" s="3">
        <f>+'[1]Nov 30'!G13</f>
        <v>7</v>
      </c>
      <c r="C13" s="7">
        <f>+'[1]Nov 30'!F13</f>
        <v>5430.9900000000016</v>
      </c>
      <c r="D13" s="7">
        <v>0</v>
      </c>
      <c r="E13" s="7">
        <f>+ROUND(C13/B13,2)</f>
        <v>775.86</v>
      </c>
      <c r="F13" s="7">
        <f>+C13+D13-E13</f>
        <v>4655.1300000000019</v>
      </c>
      <c r="G13" s="10">
        <f>B13-COUNT(E13)</f>
        <v>6</v>
      </c>
    </row>
    <row r="14" spans="1:8" x14ac:dyDescent="0.2">
      <c r="C14" s="7"/>
      <c r="D14" s="7"/>
      <c r="E14" s="7"/>
      <c r="F14" s="7"/>
    </row>
    <row r="15" spans="1:8" ht="16" thickBot="1" x14ac:dyDescent="0.25">
      <c r="C15" s="11">
        <f>SUM(C6:C14)</f>
        <v>5913.9100000000017</v>
      </c>
      <c r="D15" s="11">
        <f t="shared" ref="D15:F15" si="0">SUM(D6:D14)</f>
        <v>0</v>
      </c>
      <c r="E15" s="11">
        <f t="shared" si="0"/>
        <v>856.35</v>
      </c>
      <c r="F15" s="11">
        <f t="shared" si="0"/>
        <v>5057.5600000000013</v>
      </c>
    </row>
    <row r="16" spans="1:8" x14ac:dyDescent="0.2">
      <c r="A16" s="8" t="s">
        <v>17</v>
      </c>
      <c r="C16" s="7"/>
      <c r="D16" s="7"/>
      <c r="E16" s="7"/>
      <c r="F16" s="7"/>
    </row>
    <row r="17" spans="1:6" x14ac:dyDescent="0.2">
      <c r="A17" t="s">
        <v>14</v>
      </c>
      <c r="C17" s="7"/>
      <c r="D17" s="7"/>
      <c r="E17" s="7"/>
      <c r="F17" s="7">
        <v>2396.62</v>
      </c>
    </row>
    <row r="18" spans="1:6" x14ac:dyDescent="0.2">
      <c r="A18" t="s">
        <v>15</v>
      </c>
      <c r="C18" s="7"/>
      <c r="D18" s="7"/>
      <c r="E18" s="7"/>
      <c r="F18" s="7">
        <v>3500</v>
      </c>
    </row>
    <row r="19" spans="1:6" ht="16" thickBot="1" x14ac:dyDescent="0.25">
      <c r="C19" s="12"/>
      <c r="D19" s="7"/>
      <c r="E19" s="7"/>
      <c r="F19" s="13">
        <f>SUM(F15:F18)</f>
        <v>10954.18</v>
      </c>
    </row>
    <row r="20" spans="1:6" ht="16" thickTop="1" x14ac:dyDescent="0.2">
      <c r="C20" s="12"/>
      <c r="D20" s="7"/>
      <c r="E20" s="7"/>
      <c r="F20" s="7"/>
    </row>
    <row r="21" spans="1:6" x14ac:dyDescent="0.2">
      <c r="C21" s="7"/>
      <c r="D21" s="7"/>
      <c r="E21" s="7"/>
      <c r="F21" s="7"/>
    </row>
    <row r="22" spans="1:6" x14ac:dyDescent="0.2">
      <c r="C22" s="7"/>
      <c r="D22" s="7"/>
      <c r="E22" s="7"/>
      <c r="F22" s="7"/>
    </row>
    <row r="23" spans="1:6" x14ac:dyDescent="0.2">
      <c r="C23" s="7"/>
      <c r="D23" s="7"/>
      <c r="E23" s="7"/>
      <c r="F23" s="7"/>
    </row>
    <row r="24" spans="1:6" x14ac:dyDescent="0.2">
      <c r="C24" s="7"/>
      <c r="D24" s="7"/>
      <c r="E24" s="7"/>
      <c r="F24" s="7"/>
    </row>
    <row r="25" spans="1:6" x14ac:dyDescent="0.2">
      <c r="C25" s="7"/>
      <c r="D25" s="7"/>
      <c r="E25" s="7"/>
      <c r="F25" s="7"/>
    </row>
    <row r="29" spans="1:6" x14ac:dyDescent="0.2">
      <c r="A29" t="s">
        <v>16</v>
      </c>
    </row>
  </sheetData>
  <pageMargins left="1" right="1" top="1" bottom="1" header="0.5" footer="0.5"/>
  <pageSetup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2C30-9EA7-4799-AE6C-C246B9039E97}">
  <dimension ref="A1:J31"/>
  <sheetViews>
    <sheetView zoomScaleNormal="100" workbookViewId="0">
      <selection activeCell="A23" sqref="A23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9" ht="19" x14ac:dyDescent="0.25">
      <c r="A1" s="1" t="s">
        <v>0</v>
      </c>
      <c r="B1" s="24" t="s">
        <v>72</v>
      </c>
      <c r="H1" s="2"/>
      <c r="I1" s="1"/>
    </row>
    <row r="2" spans="1:9" x14ac:dyDescent="0.2">
      <c r="A2" s="8" t="s">
        <v>18</v>
      </c>
    </row>
    <row r="3" spans="1:9" x14ac:dyDescent="0.2">
      <c r="A3" s="14">
        <v>44347</v>
      </c>
      <c r="B3" s="3">
        <v>31</v>
      </c>
      <c r="H3" s="5"/>
      <c r="I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9" ht="15.75" customHeight="1" x14ac:dyDescent="0.2">
      <c r="A5" s="8" t="s">
        <v>1</v>
      </c>
      <c r="C5" s="7"/>
      <c r="D5" s="7"/>
      <c r="E5" s="7"/>
      <c r="F5" s="7"/>
      <c r="G5" s="7"/>
    </row>
    <row r="6" spans="1:9" x14ac:dyDescent="0.2">
      <c r="A6" t="s">
        <v>83</v>
      </c>
      <c r="B6" s="3">
        <v>213</v>
      </c>
      <c r="C6" s="7">
        <v>3204.92</v>
      </c>
      <c r="D6" s="7"/>
      <c r="E6" s="7"/>
      <c r="F6" s="7"/>
      <c r="G6" s="7">
        <f t="shared" ref="G6" si="0">+C6+D6-E6</f>
        <v>3204.92</v>
      </c>
    </row>
    <row r="7" spans="1:9" x14ac:dyDescent="0.2">
      <c r="A7" t="s">
        <v>56</v>
      </c>
      <c r="B7" s="3">
        <f>236-31-30-31-31-28-31-30-24</f>
        <v>0</v>
      </c>
      <c r="C7" s="7">
        <v>225.94</v>
      </c>
      <c r="D7" s="7"/>
      <c r="E7" s="7">
        <v>225.94</v>
      </c>
      <c r="F7" s="7"/>
      <c r="G7" s="7">
        <f>+C7+D7-E7-F7</f>
        <v>0</v>
      </c>
    </row>
    <row r="8" spans="1:9" ht="16" thickBot="1" x14ac:dyDescent="0.25">
      <c r="C8" s="11">
        <f>SUM(C6:C7)</f>
        <v>3430.86</v>
      </c>
      <c r="D8" s="11">
        <f>SUM(D6:D7)</f>
        <v>0</v>
      </c>
      <c r="E8" s="11">
        <f>SUM(E6:E7)</f>
        <v>225.94</v>
      </c>
      <c r="F8" s="11">
        <f>SUM(F6:F7)</f>
        <v>0</v>
      </c>
      <c r="G8" s="11">
        <f>SUM(G6:G7)</f>
        <v>3204.92</v>
      </c>
    </row>
    <row r="9" spans="1:9" x14ac:dyDescent="0.2">
      <c r="A9" s="8" t="s">
        <v>17</v>
      </c>
      <c r="C9" s="7"/>
      <c r="D9" s="7"/>
      <c r="E9" s="7"/>
      <c r="F9" s="7"/>
      <c r="G9" s="7"/>
    </row>
    <row r="10" spans="1:9" x14ac:dyDescent="0.2">
      <c r="A10" s="8" t="s">
        <v>82</v>
      </c>
      <c r="C10" s="7">
        <v>10000</v>
      </c>
      <c r="D10" s="7"/>
      <c r="E10" s="7"/>
      <c r="F10" s="7"/>
      <c r="G10" s="7">
        <f>C10+D10-E10</f>
        <v>10000</v>
      </c>
    </row>
    <row r="11" spans="1:9" s="3" customFormat="1" ht="32" x14ac:dyDescent="0.2">
      <c r="A11" s="23" t="s">
        <v>58</v>
      </c>
      <c r="C11" s="7">
        <v>1007.57</v>
      </c>
      <c r="D11" s="7"/>
      <c r="E11" s="7"/>
      <c r="F11" s="7"/>
      <c r="G11" s="7">
        <f>C11+D11-E11</f>
        <v>1007.57</v>
      </c>
      <c r="I11"/>
    </row>
    <row r="12" spans="1:9" s="3" customFormat="1" ht="16" x14ac:dyDescent="0.2">
      <c r="A12" s="22" t="s">
        <v>53</v>
      </c>
      <c r="C12" s="7">
        <v>5817.19</v>
      </c>
      <c r="D12" s="7"/>
      <c r="E12" s="7"/>
      <c r="F12" s="7"/>
      <c r="G12" s="7">
        <f t="shared" ref="G12:G24" si="1">C12+D12-E12</f>
        <v>5817.19</v>
      </c>
      <c r="I12"/>
    </row>
    <row r="13" spans="1:9" s="3" customFormat="1" ht="32" x14ac:dyDescent="0.2">
      <c r="A13" s="22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9" s="3" customFormat="1" ht="16" x14ac:dyDescent="0.2">
      <c r="A14" s="22" t="s">
        <v>75</v>
      </c>
      <c r="C14" s="7">
        <v>13850.12</v>
      </c>
      <c r="D14" s="7"/>
      <c r="E14" s="7"/>
      <c r="F14" s="7"/>
      <c r="G14" s="7">
        <f t="shared" si="1"/>
        <v>13850.12</v>
      </c>
      <c r="I14"/>
    </row>
    <row r="15" spans="1:9" s="3" customFormat="1" ht="16" x14ac:dyDescent="0.2">
      <c r="A15" s="22" t="s">
        <v>77</v>
      </c>
      <c r="B15" s="3">
        <v>122</v>
      </c>
      <c r="C15" s="7">
        <v>153.75</v>
      </c>
      <c r="D15" s="7"/>
      <c r="E15" s="7"/>
      <c r="F15" s="7"/>
      <c r="G15" s="7">
        <f t="shared" si="1"/>
        <v>153.75</v>
      </c>
      <c r="I15"/>
    </row>
    <row r="16" spans="1:9" s="3" customFormat="1" ht="16" x14ac:dyDescent="0.2">
      <c r="A16" s="22" t="s">
        <v>78</v>
      </c>
      <c r="B16" s="3">
        <v>365</v>
      </c>
      <c r="C16" s="7">
        <v>251.88</v>
      </c>
      <c r="D16" s="7"/>
      <c r="E16" s="7"/>
      <c r="F16" s="7"/>
      <c r="G16" s="7">
        <f t="shared" si="1"/>
        <v>251.88</v>
      </c>
      <c r="I16"/>
    </row>
    <row r="17" spans="1:10" s="3" customFormat="1" ht="16" x14ac:dyDescent="0.2">
      <c r="A17" s="22" t="s">
        <v>79</v>
      </c>
      <c r="B17" s="3">
        <v>365</v>
      </c>
      <c r="C17" s="7">
        <v>251.88</v>
      </c>
      <c r="D17" s="7"/>
      <c r="E17" s="7"/>
      <c r="F17" s="7"/>
      <c r="G17" s="7">
        <f t="shared" si="1"/>
        <v>251.88</v>
      </c>
      <c r="I17"/>
    </row>
    <row r="18" spans="1:10" s="3" customFormat="1" ht="16" x14ac:dyDescent="0.2">
      <c r="A18" s="22" t="s">
        <v>81</v>
      </c>
      <c r="B18" s="3">
        <v>122</v>
      </c>
      <c r="C18" s="7">
        <v>83.96</v>
      </c>
      <c r="D18" s="7"/>
      <c r="E18" s="7"/>
      <c r="F18" s="7"/>
      <c r="G18" s="7">
        <f t="shared" si="1"/>
        <v>83.96</v>
      </c>
      <c r="I18"/>
    </row>
    <row r="19" spans="1:10" s="3" customFormat="1" ht="16" x14ac:dyDescent="0.2">
      <c r="A19" s="22" t="s">
        <v>64</v>
      </c>
      <c r="B19" s="3">
        <f>251-30-31-30-31-31-28-31-30-9</f>
        <v>0</v>
      </c>
      <c r="C19" s="7">
        <v>4.62</v>
      </c>
      <c r="D19" s="7"/>
      <c r="E19" s="7">
        <v>4.62</v>
      </c>
      <c r="G19" s="7">
        <f t="shared" si="1"/>
        <v>0</v>
      </c>
      <c r="I19"/>
      <c r="J19" s="7"/>
    </row>
    <row r="20" spans="1:10" s="3" customFormat="1" ht="16" x14ac:dyDescent="0.2">
      <c r="A20" s="22" t="s">
        <v>69</v>
      </c>
      <c r="B20" s="3">
        <f>317-30-31-30-31-31-28-31-30-31</f>
        <v>44</v>
      </c>
      <c r="C20" s="7">
        <v>46.69</v>
      </c>
      <c r="D20" s="7"/>
      <c r="E20" s="7">
        <f>200/317*B3</f>
        <v>19.558359621451103</v>
      </c>
      <c r="G20" s="7">
        <f t="shared" si="1"/>
        <v>27.131640378548894</v>
      </c>
      <c r="I20"/>
      <c r="J20" s="7"/>
    </row>
    <row r="21" spans="1:10" s="3" customFormat="1" ht="16" x14ac:dyDescent="0.2">
      <c r="A21" s="22" t="s">
        <v>68</v>
      </c>
      <c r="B21" s="3">
        <f>297-30-31-30-31-31-28-31-30-31</f>
        <v>24</v>
      </c>
      <c r="C21" s="7">
        <v>169.38</v>
      </c>
      <c r="D21" s="7"/>
      <c r="E21" s="7">
        <f>931.61/297*B3</f>
        <v>97.238754208754216</v>
      </c>
      <c r="G21" s="7">
        <f t="shared" si="1"/>
        <v>72.14124579124578</v>
      </c>
      <c r="I21"/>
      <c r="J21" s="7"/>
    </row>
    <row r="22" spans="1:10" s="3" customFormat="1" ht="16" x14ac:dyDescent="0.2">
      <c r="A22" s="22" t="s">
        <v>63</v>
      </c>
      <c r="B22" s="3">
        <f>309-30-31-30-31-31-28-31-30-31</f>
        <v>36</v>
      </c>
      <c r="C22" s="7">
        <v>29.65</v>
      </c>
      <c r="D22" s="7"/>
      <c r="E22" s="7">
        <f>138.84/309*B3</f>
        <v>13.928932038834953</v>
      </c>
      <c r="G22" s="7">
        <f t="shared" si="1"/>
        <v>15.721067961165046</v>
      </c>
      <c r="I22"/>
      <c r="J22" s="7"/>
    </row>
    <row r="23" spans="1:10" s="3" customFormat="1" ht="16" x14ac:dyDescent="0.2">
      <c r="A23" s="22" t="s">
        <v>73</v>
      </c>
      <c r="B23" s="3">
        <f>365-31-30-31-30-31-31-28-31-30-31</f>
        <v>61</v>
      </c>
      <c r="C23" s="7">
        <v>85.79</v>
      </c>
      <c r="D23" s="7"/>
      <c r="E23" s="7">
        <f>343.45/365*B3</f>
        <v>29.16972602739726</v>
      </c>
      <c r="G23" s="7">
        <f t="shared" si="1"/>
        <v>56.620273972602746</v>
      </c>
      <c r="I23"/>
    </row>
    <row r="24" spans="1:10" s="3" customFormat="1" ht="16" x14ac:dyDescent="0.2">
      <c r="A24" s="22" t="s">
        <v>74</v>
      </c>
      <c r="B24" s="3">
        <v>1509</v>
      </c>
      <c r="C24" s="7">
        <v>495.34</v>
      </c>
      <c r="D24" s="7"/>
      <c r="E24" s="7"/>
      <c r="G24" s="7">
        <f t="shared" si="1"/>
        <v>495.34</v>
      </c>
      <c r="I24"/>
    </row>
    <row r="25" spans="1:10" s="3" customFormat="1" x14ac:dyDescent="0.2">
      <c r="A25"/>
      <c r="C25" s="25">
        <f>SUM(C10:C24)</f>
        <v>33269.549999999996</v>
      </c>
      <c r="D25" s="25">
        <f t="shared" ref="D25:G25" si="2">SUM(D10:D24)</f>
        <v>0</v>
      </c>
      <c r="E25" s="25">
        <f t="shared" si="2"/>
        <v>164.51577189643751</v>
      </c>
      <c r="F25" s="25">
        <f t="shared" si="2"/>
        <v>0</v>
      </c>
      <c r="G25" s="25">
        <f t="shared" si="2"/>
        <v>33105.034228103563</v>
      </c>
      <c r="I25"/>
    </row>
    <row r="26" spans="1:10" s="3" customFormat="1" ht="16" thickBot="1" x14ac:dyDescent="0.25">
      <c r="C26" s="26">
        <f>C8+C25</f>
        <v>36700.409999999996</v>
      </c>
      <c r="D26" s="26">
        <f>D8+D25</f>
        <v>0</v>
      </c>
      <c r="E26" s="26">
        <f>E8+E25</f>
        <v>390.45577189643751</v>
      </c>
      <c r="F26" s="26">
        <f>F8+F25</f>
        <v>0</v>
      </c>
      <c r="G26" s="26">
        <f>G8+G25</f>
        <v>36309.954228103561</v>
      </c>
      <c r="I26"/>
    </row>
    <row r="27" spans="1:10" s="3" customFormat="1" ht="16" thickTop="1" x14ac:dyDescent="0.2">
      <c r="A27"/>
      <c r="C27" s="7"/>
      <c r="D27" s="7"/>
      <c r="E27" s="7"/>
      <c r="F27" s="7"/>
      <c r="G27" s="7"/>
      <c r="I27"/>
    </row>
    <row r="31" spans="1:10" s="3" customFormat="1" x14ac:dyDescent="0.2">
      <c r="A31"/>
      <c r="C31"/>
      <c r="D31"/>
      <c r="E31"/>
      <c r="F31"/>
      <c r="G31"/>
      <c r="I31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03167-5B77-4774-86A9-FFAEDA582843}">
  <dimension ref="A1:J31"/>
  <sheetViews>
    <sheetView zoomScaleNormal="100" workbookViewId="0">
      <selection activeCell="E7" sqref="E7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9" ht="19" x14ac:dyDescent="0.25">
      <c r="A1" s="1" t="s">
        <v>0</v>
      </c>
      <c r="B1" s="24" t="s">
        <v>72</v>
      </c>
      <c r="H1" s="2"/>
      <c r="I1" s="1"/>
    </row>
    <row r="2" spans="1:9" x14ac:dyDescent="0.2">
      <c r="A2" s="8" t="s">
        <v>18</v>
      </c>
    </row>
    <row r="3" spans="1:9" x14ac:dyDescent="0.2">
      <c r="A3" s="14">
        <v>44316</v>
      </c>
      <c r="B3" s="3">
        <v>30</v>
      </c>
      <c r="H3" s="5"/>
      <c r="I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9" ht="15.75" customHeight="1" x14ac:dyDescent="0.2">
      <c r="A5" s="8" t="s">
        <v>1</v>
      </c>
      <c r="C5" s="7"/>
      <c r="D5" s="7"/>
      <c r="E5" s="7"/>
      <c r="F5" s="7"/>
      <c r="G5" s="7"/>
    </row>
    <row r="6" spans="1:9" x14ac:dyDescent="0.2">
      <c r="A6" t="s">
        <v>83</v>
      </c>
      <c r="B6" s="3">
        <v>213</v>
      </c>
      <c r="C6" s="7">
        <v>3.41085271317354E-3</v>
      </c>
      <c r="D6" s="7">
        <v>3204.92</v>
      </c>
      <c r="E6" s="7"/>
      <c r="F6" s="7"/>
      <c r="G6" s="7">
        <f t="shared" ref="G6" si="0">+C6+D6-E6</f>
        <v>3204.9234108527135</v>
      </c>
    </row>
    <row r="7" spans="1:9" x14ac:dyDescent="0.2">
      <c r="A7" t="s">
        <v>56</v>
      </c>
      <c r="B7" s="3">
        <f>236-31-30-31-31-28-31-30</f>
        <v>24</v>
      </c>
      <c r="C7" s="7">
        <v>258.84064055902928</v>
      </c>
      <c r="D7" s="7"/>
      <c r="E7" s="7">
        <f>C7/236*B3</f>
        <v>32.903471257503718</v>
      </c>
      <c r="F7" s="7"/>
      <c r="G7" s="7">
        <f>+C7+D7-E7-F7</f>
        <v>225.93716930152556</v>
      </c>
    </row>
    <row r="8" spans="1:9" ht="16" thickBot="1" x14ac:dyDescent="0.25">
      <c r="C8" s="11">
        <f>SUM(C6:C7)</f>
        <v>258.84405141174244</v>
      </c>
      <c r="D8" s="11">
        <f>SUM(D6:D7)</f>
        <v>3204.92</v>
      </c>
      <c r="E8" s="11">
        <f>SUM(E6:E7)</f>
        <v>32.903471257503718</v>
      </c>
      <c r="F8" s="11">
        <f>SUM(F6:F7)</f>
        <v>0</v>
      </c>
      <c r="G8" s="11">
        <f>SUM(G6:G7)</f>
        <v>3430.860580154239</v>
      </c>
    </row>
    <row r="9" spans="1:9" x14ac:dyDescent="0.2">
      <c r="A9" s="8" t="s">
        <v>17</v>
      </c>
      <c r="C9" s="7"/>
      <c r="D9" s="7"/>
      <c r="E9" s="7"/>
      <c r="F9" s="7"/>
      <c r="G9" s="7"/>
    </row>
    <row r="10" spans="1:9" x14ac:dyDescent="0.2">
      <c r="A10" s="8" t="s">
        <v>82</v>
      </c>
      <c r="C10" s="7">
        <v>10000</v>
      </c>
      <c r="D10" s="7"/>
      <c r="E10" s="7"/>
      <c r="F10" s="7"/>
      <c r="G10" s="7">
        <f>C10+D10-E10</f>
        <v>10000</v>
      </c>
    </row>
    <row r="11" spans="1:9" s="3" customFormat="1" ht="32" x14ac:dyDescent="0.2">
      <c r="A11" s="23" t="s">
        <v>58</v>
      </c>
      <c r="C11" s="7">
        <v>1007.57</v>
      </c>
      <c r="D11" s="7"/>
      <c r="E11" s="7"/>
      <c r="F11" s="7"/>
      <c r="G11" s="7">
        <f>C11+D11-E11</f>
        <v>1007.57</v>
      </c>
      <c r="I11"/>
    </row>
    <row r="12" spans="1:9" s="3" customFormat="1" ht="16" x14ac:dyDescent="0.2">
      <c r="A12" s="22" t="s">
        <v>53</v>
      </c>
      <c r="C12" s="7">
        <v>5817.19</v>
      </c>
      <c r="D12" s="7"/>
      <c r="E12" s="7"/>
      <c r="F12" s="7"/>
      <c r="G12" s="7">
        <f t="shared" ref="G12:G24" si="1">C12+D12-E12</f>
        <v>5817.19</v>
      </c>
      <c r="I12"/>
    </row>
    <row r="13" spans="1:9" s="3" customFormat="1" ht="32" x14ac:dyDescent="0.2">
      <c r="A13" s="22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9" s="3" customFormat="1" ht="16" x14ac:dyDescent="0.2">
      <c r="A14" s="22" t="s">
        <v>75</v>
      </c>
      <c r="C14" s="7">
        <v>13850.12</v>
      </c>
      <c r="D14" s="7"/>
      <c r="E14" s="7"/>
      <c r="F14" s="7"/>
      <c r="G14" s="7">
        <f t="shared" si="1"/>
        <v>13850.12</v>
      </c>
      <c r="I14"/>
    </row>
    <row r="15" spans="1:9" s="3" customFormat="1" ht="16" x14ac:dyDescent="0.2">
      <c r="A15" s="22" t="s">
        <v>77</v>
      </c>
      <c r="B15" s="3">
        <v>122</v>
      </c>
      <c r="C15" s="7">
        <v>153.75</v>
      </c>
      <c r="D15" s="7"/>
      <c r="E15" s="7"/>
      <c r="F15" s="7"/>
      <c r="G15" s="7">
        <f t="shared" si="1"/>
        <v>153.75</v>
      </c>
      <c r="I15"/>
    </row>
    <row r="16" spans="1:9" s="3" customFormat="1" ht="16" x14ac:dyDescent="0.2">
      <c r="A16" s="22" t="s">
        <v>78</v>
      </c>
      <c r="B16" s="3">
        <v>365</v>
      </c>
      <c r="C16" s="7">
        <v>251.88</v>
      </c>
      <c r="D16" s="7"/>
      <c r="E16" s="7"/>
      <c r="F16" s="7"/>
      <c r="G16" s="7">
        <f t="shared" si="1"/>
        <v>251.88</v>
      </c>
      <c r="I16"/>
    </row>
    <row r="17" spans="1:10" s="3" customFormat="1" ht="16" x14ac:dyDescent="0.2">
      <c r="A17" s="22" t="s">
        <v>79</v>
      </c>
      <c r="B17" s="3">
        <v>365</v>
      </c>
      <c r="C17" s="7">
        <v>251.88</v>
      </c>
      <c r="D17" s="7"/>
      <c r="E17" s="7"/>
      <c r="F17" s="7"/>
      <c r="G17" s="7">
        <f t="shared" si="1"/>
        <v>251.88</v>
      </c>
      <c r="I17"/>
    </row>
    <row r="18" spans="1:10" s="3" customFormat="1" ht="16" x14ac:dyDescent="0.2">
      <c r="A18" s="22" t="s">
        <v>81</v>
      </c>
      <c r="B18" s="3">
        <v>122</v>
      </c>
      <c r="C18" s="7">
        <v>83.96</v>
      </c>
      <c r="D18" s="7"/>
      <c r="E18" s="7"/>
      <c r="F18" s="7"/>
      <c r="G18" s="7">
        <f t="shared" si="1"/>
        <v>83.96</v>
      </c>
      <c r="I18"/>
    </row>
    <row r="19" spans="1:10" s="3" customFormat="1" ht="16" x14ac:dyDescent="0.2">
      <c r="A19" s="22" t="s">
        <v>64</v>
      </c>
      <c r="B19" s="3">
        <f>251-30-31-30-31-31-28-31-30</f>
        <v>9</v>
      </c>
      <c r="C19" s="7">
        <v>21.972470119521915</v>
      </c>
      <c r="D19" s="7"/>
      <c r="E19" s="7">
        <f>145.16/251*B3</f>
        <v>17.349800796812747</v>
      </c>
      <c r="G19" s="7">
        <f t="shared" si="1"/>
        <v>4.622669322709168</v>
      </c>
      <c r="I19"/>
      <c r="J19" s="7"/>
    </row>
    <row r="20" spans="1:10" s="3" customFormat="1" ht="16" x14ac:dyDescent="0.2">
      <c r="A20" s="22" t="s">
        <v>69</v>
      </c>
      <c r="B20" s="3">
        <f>317-30-31-30-31-31-28-31-30</f>
        <v>75</v>
      </c>
      <c r="C20" s="7">
        <v>65.619305993690858</v>
      </c>
      <c r="D20" s="7"/>
      <c r="E20" s="7">
        <f>200/317*B3</f>
        <v>18.927444794952681</v>
      </c>
      <c r="G20" s="7">
        <f t="shared" si="1"/>
        <v>46.691861198738181</v>
      </c>
      <c r="I20"/>
      <c r="J20" s="7"/>
    </row>
    <row r="21" spans="1:10" s="3" customFormat="1" ht="16" x14ac:dyDescent="0.2">
      <c r="A21" s="22" t="s">
        <v>68</v>
      </c>
      <c r="B21" s="3">
        <f>297-30-31-30-31-31-28-31-30</f>
        <v>55</v>
      </c>
      <c r="C21" s="7">
        <v>263.48518518518506</v>
      </c>
      <c r="D21" s="7"/>
      <c r="E21" s="7">
        <f>931.61/297*B3</f>
        <v>94.102020202020199</v>
      </c>
      <c r="G21" s="7">
        <f t="shared" si="1"/>
        <v>169.38316498316487</v>
      </c>
      <c r="I21"/>
      <c r="J21" s="7"/>
    </row>
    <row r="22" spans="1:10" s="3" customFormat="1" ht="16" x14ac:dyDescent="0.2">
      <c r="A22" s="22" t="s">
        <v>63</v>
      </c>
      <c r="B22" s="3">
        <f>309-30-31-30-31-31-28-31-30</f>
        <v>67</v>
      </c>
      <c r="C22" s="7">
        <v>43.13223300970872</v>
      </c>
      <c r="D22" s="7"/>
      <c r="E22" s="7">
        <f>138.84/309*B3</f>
        <v>13.479611650485438</v>
      </c>
      <c r="G22" s="7">
        <f t="shared" si="1"/>
        <v>29.652621359223282</v>
      </c>
      <c r="I22"/>
      <c r="J22" s="7"/>
    </row>
    <row r="23" spans="1:10" s="3" customFormat="1" ht="16" x14ac:dyDescent="0.2">
      <c r="A23" s="22" t="s">
        <v>73</v>
      </c>
      <c r="B23" s="3">
        <f>365-31-30-31-30-31-31-28-31-30</f>
        <v>92</v>
      </c>
      <c r="C23" s="7">
        <v>114.01397260273977</v>
      </c>
      <c r="D23" s="7"/>
      <c r="E23" s="7">
        <f>343.45/365*B3</f>
        <v>28.228767123287671</v>
      </c>
      <c r="G23" s="7">
        <f t="shared" si="1"/>
        <v>85.785205479452102</v>
      </c>
      <c r="I23"/>
    </row>
    <row r="24" spans="1:10" s="3" customFormat="1" ht="16" x14ac:dyDescent="0.2">
      <c r="A24" s="22" t="s">
        <v>74</v>
      </c>
      <c r="B24" s="3">
        <v>1509</v>
      </c>
      <c r="C24" s="7">
        <v>495.34</v>
      </c>
      <c r="D24" s="7"/>
      <c r="E24" s="7"/>
      <c r="G24" s="7">
        <f t="shared" si="1"/>
        <v>495.34</v>
      </c>
      <c r="I24"/>
    </row>
    <row r="25" spans="1:10" s="3" customFormat="1" x14ac:dyDescent="0.2">
      <c r="A25"/>
      <c r="C25" s="25">
        <f>SUM(C10:C24)</f>
        <v>33441.64316691085</v>
      </c>
      <c r="D25" s="25">
        <f t="shared" ref="D25:G25" si="2">SUM(D10:D24)</f>
        <v>0</v>
      </c>
      <c r="E25" s="25">
        <f t="shared" si="2"/>
        <v>172.08764456755873</v>
      </c>
      <c r="F25" s="25">
        <f t="shared" si="2"/>
        <v>0</v>
      </c>
      <c r="G25" s="25">
        <f t="shared" si="2"/>
        <v>33269.555522343289</v>
      </c>
      <c r="I25"/>
    </row>
    <row r="26" spans="1:10" s="3" customFormat="1" ht="16" thickBot="1" x14ac:dyDescent="0.25">
      <c r="C26" s="26">
        <f>C8+C25</f>
        <v>33700.487218322589</v>
      </c>
      <c r="D26" s="26">
        <f>D8+D25</f>
        <v>3204.92</v>
      </c>
      <c r="E26" s="26">
        <f>E8+E25</f>
        <v>204.99111582506245</v>
      </c>
      <c r="F26" s="26">
        <f>F8+F25</f>
        <v>0</v>
      </c>
      <c r="G26" s="26">
        <f>G8+G25</f>
        <v>36700.416102497526</v>
      </c>
      <c r="I26"/>
    </row>
    <row r="27" spans="1:10" s="3" customFormat="1" ht="16" thickTop="1" x14ac:dyDescent="0.2">
      <c r="A27"/>
      <c r="C27" s="7"/>
      <c r="D27" s="7"/>
      <c r="E27" s="7"/>
      <c r="F27" s="7"/>
      <c r="G27" s="7"/>
      <c r="I27"/>
    </row>
    <row r="31" spans="1:10" s="3" customFormat="1" x14ac:dyDescent="0.2">
      <c r="A31"/>
      <c r="C31"/>
      <c r="D31"/>
      <c r="E31"/>
      <c r="F31"/>
      <c r="G31"/>
      <c r="I31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14765-9870-43F3-8655-0F8DFB333116}">
  <dimension ref="A1:J31"/>
  <sheetViews>
    <sheetView zoomScaleNormal="100" workbookViewId="0">
      <selection activeCell="N28" sqref="N28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9" ht="19" x14ac:dyDescent="0.25">
      <c r="A1" s="1" t="s">
        <v>0</v>
      </c>
      <c r="B1" s="24" t="s">
        <v>72</v>
      </c>
      <c r="H1" s="2"/>
      <c r="I1" s="1"/>
    </row>
    <row r="2" spans="1:9" x14ac:dyDescent="0.2">
      <c r="A2" s="8" t="s">
        <v>18</v>
      </c>
    </row>
    <row r="3" spans="1:9" x14ac:dyDescent="0.2">
      <c r="A3" s="14">
        <v>44286</v>
      </c>
      <c r="B3" s="3">
        <v>31</v>
      </c>
      <c r="H3" s="5"/>
      <c r="I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9" ht="15.75" customHeight="1" x14ac:dyDescent="0.2">
      <c r="A5" s="8" t="s">
        <v>1</v>
      </c>
      <c r="C5" s="7"/>
      <c r="D5" s="7"/>
      <c r="E5" s="7"/>
      <c r="F5" s="7"/>
      <c r="G5" s="7"/>
    </row>
    <row r="6" spans="1:9" x14ac:dyDescent="0.2">
      <c r="A6" t="s">
        <v>55</v>
      </c>
      <c r="B6" s="3">
        <f>122-30-31-31-30</f>
        <v>0</v>
      </c>
      <c r="C6" s="7">
        <v>3.41085271317354E-3</v>
      </c>
      <c r="D6" s="7"/>
      <c r="E6" s="7"/>
      <c r="F6" s="7"/>
      <c r="G6" s="7">
        <f t="shared" ref="G6" si="0">+C6+D6-E6</f>
        <v>3.41085271317354E-3</v>
      </c>
    </row>
    <row r="7" spans="1:9" x14ac:dyDescent="0.2">
      <c r="A7" t="s">
        <v>56</v>
      </c>
      <c r="B7" s="3">
        <f>236-31-30-31-31-28-31</f>
        <v>54</v>
      </c>
      <c r="C7" s="7">
        <v>297.9823959606386</v>
      </c>
      <c r="D7" s="7"/>
      <c r="E7" s="7">
        <f>C7/236*B3</f>
        <v>39.141755401609309</v>
      </c>
      <c r="F7" s="7"/>
      <c r="G7" s="7">
        <f>+C7+D7-E7-F7</f>
        <v>258.84064055902928</v>
      </c>
    </row>
    <row r="8" spans="1:9" ht="16" thickBot="1" x14ac:dyDescent="0.25">
      <c r="C8" s="11">
        <f>SUM(C6:C7)</f>
        <v>297.98580681335176</v>
      </c>
      <c r="D8" s="11">
        <f>SUM(D6:D7)</f>
        <v>0</v>
      </c>
      <c r="E8" s="11">
        <f>SUM(E6:E7)</f>
        <v>39.141755401609309</v>
      </c>
      <c r="F8" s="11">
        <f>SUM(F6:F7)</f>
        <v>0</v>
      </c>
      <c r="G8" s="11">
        <f>SUM(G6:G7)</f>
        <v>258.84405141174244</v>
      </c>
    </row>
    <row r="9" spans="1:9" x14ac:dyDescent="0.2">
      <c r="A9" s="8" t="s">
        <v>17</v>
      </c>
      <c r="C9" s="7"/>
      <c r="D9" s="7"/>
      <c r="E9" s="7"/>
      <c r="F9" s="7"/>
      <c r="G9" s="7"/>
    </row>
    <row r="10" spans="1:9" x14ac:dyDescent="0.2">
      <c r="A10" s="8" t="s">
        <v>82</v>
      </c>
      <c r="C10" s="7">
        <v>10000</v>
      </c>
      <c r="D10" s="7"/>
      <c r="E10" s="7"/>
      <c r="F10" s="7"/>
      <c r="G10" s="7">
        <f>C10+D10-E10</f>
        <v>10000</v>
      </c>
    </row>
    <row r="11" spans="1:9" s="3" customFormat="1" ht="32" x14ac:dyDescent="0.2">
      <c r="A11" s="23" t="s">
        <v>58</v>
      </c>
      <c r="C11" s="7">
        <v>1007.57</v>
      </c>
      <c r="D11" s="7"/>
      <c r="E11" s="7"/>
      <c r="F11" s="7"/>
      <c r="G11" s="7">
        <f>C11+D11-E11</f>
        <v>1007.57</v>
      </c>
      <c r="I11"/>
    </row>
    <row r="12" spans="1:9" s="3" customFormat="1" ht="16" x14ac:dyDescent="0.2">
      <c r="A12" s="22" t="s">
        <v>53</v>
      </c>
      <c r="C12" s="7">
        <v>5817.19</v>
      </c>
      <c r="D12" s="7"/>
      <c r="E12" s="7"/>
      <c r="F12" s="7"/>
      <c r="G12" s="7">
        <f t="shared" ref="G12:G24" si="1">C12+D12-E12</f>
        <v>5817.19</v>
      </c>
      <c r="I12"/>
    </row>
    <row r="13" spans="1:9" s="3" customFormat="1" ht="32" x14ac:dyDescent="0.2">
      <c r="A13" s="22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9" s="3" customFormat="1" ht="16" x14ac:dyDescent="0.2">
      <c r="A14" s="22" t="s">
        <v>75</v>
      </c>
      <c r="C14" s="7">
        <v>13850.12</v>
      </c>
      <c r="D14" s="7"/>
      <c r="E14" s="7"/>
      <c r="F14" s="7"/>
      <c r="G14" s="7">
        <f t="shared" si="1"/>
        <v>13850.12</v>
      </c>
      <c r="I14"/>
    </row>
    <row r="15" spans="1:9" s="3" customFormat="1" ht="16" x14ac:dyDescent="0.2">
      <c r="A15" s="22" t="s">
        <v>77</v>
      </c>
      <c r="B15" s="3">
        <v>122</v>
      </c>
      <c r="C15" s="7">
        <v>153.75</v>
      </c>
      <c r="D15" s="7"/>
      <c r="E15" s="7"/>
      <c r="F15" s="7"/>
      <c r="G15" s="7">
        <f t="shared" si="1"/>
        <v>153.75</v>
      </c>
      <c r="I15"/>
    </row>
    <row r="16" spans="1:9" s="3" customFormat="1" ht="16" x14ac:dyDescent="0.2">
      <c r="A16" s="22" t="s">
        <v>78</v>
      </c>
      <c r="B16" s="3">
        <v>365</v>
      </c>
      <c r="C16" s="7">
        <v>251.88</v>
      </c>
      <c r="D16" s="7"/>
      <c r="E16" s="7"/>
      <c r="F16" s="7"/>
      <c r="G16" s="7">
        <f t="shared" si="1"/>
        <v>251.88</v>
      </c>
      <c r="I16"/>
    </row>
    <row r="17" spans="1:10" s="3" customFormat="1" ht="16" x14ac:dyDescent="0.2">
      <c r="A17" s="22" t="s">
        <v>79</v>
      </c>
      <c r="B17" s="3">
        <v>365</v>
      </c>
      <c r="C17" s="7">
        <v>251.88</v>
      </c>
      <c r="D17" s="7"/>
      <c r="E17" s="7"/>
      <c r="F17" s="7"/>
      <c r="G17" s="7">
        <f t="shared" si="1"/>
        <v>251.88</v>
      </c>
      <c r="I17"/>
    </row>
    <row r="18" spans="1:10" s="3" customFormat="1" ht="16" x14ac:dyDescent="0.2">
      <c r="A18" s="22" t="s">
        <v>81</v>
      </c>
      <c r="B18" s="3">
        <v>122</v>
      </c>
      <c r="C18" s="7">
        <v>83.96</v>
      </c>
      <c r="D18" s="7"/>
      <c r="E18" s="7"/>
      <c r="F18" s="7"/>
      <c r="G18" s="7">
        <f t="shared" si="1"/>
        <v>83.96</v>
      </c>
      <c r="I18"/>
    </row>
    <row r="19" spans="1:10" s="3" customFormat="1" ht="16" x14ac:dyDescent="0.2">
      <c r="A19" s="22" t="s">
        <v>64</v>
      </c>
      <c r="B19" s="3">
        <f>251-30-31-30-31-31-28-31</f>
        <v>39</v>
      </c>
      <c r="C19" s="7">
        <v>39.900597609561757</v>
      </c>
      <c r="D19" s="7"/>
      <c r="E19" s="7">
        <f>145.16/251*B3</f>
        <v>17.928127490039842</v>
      </c>
      <c r="G19" s="7">
        <f t="shared" si="1"/>
        <v>21.972470119521915</v>
      </c>
      <c r="I19"/>
      <c r="J19" s="7"/>
    </row>
    <row r="20" spans="1:10" s="3" customFormat="1" ht="16" x14ac:dyDescent="0.2">
      <c r="A20" s="22" t="s">
        <v>69</v>
      </c>
      <c r="B20" s="3">
        <f>317-30-31-30-31-31-28-31</f>
        <v>105</v>
      </c>
      <c r="C20" s="7">
        <v>85.177665615141962</v>
      </c>
      <c r="D20" s="7"/>
      <c r="E20" s="7">
        <f>200/317*B3</f>
        <v>19.558359621451103</v>
      </c>
      <c r="G20" s="7">
        <f t="shared" si="1"/>
        <v>65.619305993690858</v>
      </c>
      <c r="I20"/>
      <c r="J20" s="7"/>
    </row>
    <row r="21" spans="1:10" s="3" customFormat="1" ht="16" x14ac:dyDescent="0.2">
      <c r="A21" s="22" t="s">
        <v>68</v>
      </c>
      <c r="B21" s="3">
        <f>297-30-31-30-31-31-28-31</f>
        <v>85</v>
      </c>
      <c r="C21" s="7">
        <v>360.7239393939393</v>
      </c>
      <c r="D21" s="7"/>
      <c r="E21" s="7">
        <f>931.61/297*B3</f>
        <v>97.238754208754216</v>
      </c>
      <c r="G21" s="7">
        <f t="shared" si="1"/>
        <v>263.48518518518506</v>
      </c>
      <c r="I21"/>
      <c r="J21" s="7"/>
    </row>
    <row r="22" spans="1:10" s="3" customFormat="1" ht="16" x14ac:dyDescent="0.2">
      <c r="A22" s="22" t="s">
        <v>63</v>
      </c>
      <c r="B22" s="3">
        <f>309-30-31-30-31-31-28-31</f>
        <v>97</v>
      </c>
      <c r="C22" s="7">
        <v>57.061165048543671</v>
      </c>
      <c r="D22" s="7"/>
      <c r="E22" s="7">
        <f>138.84/309*B3</f>
        <v>13.928932038834953</v>
      </c>
      <c r="G22" s="7">
        <f t="shared" si="1"/>
        <v>43.13223300970872</v>
      </c>
      <c r="I22"/>
      <c r="J22" s="7"/>
    </row>
    <row r="23" spans="1:10" s="3" customFormat="1" ht="16" x14ac:dyDescent="0.2">
      <c r="A23" s="22" t="s">
        <v>73</v>
      </c>
      <c r="B23" s="3">
        <f>365-31-30-31-30-31-31-28-31</f>
        <v>122</v>
      </c>
      <c r="C23" s="7">
        <v>143.18369863013703</v>
      </c>
      <c r="D23" s="7"/>
      <c r="E23" s="7">
        <f>343.45/365*B3</f>
        <v>29.16972602739726</v>
      </c>
      <c r="G23" s="7">
        <f t="shared" si="1"/>
        <v>114.01397260273977</v>
      </c>
      <c r="I23"/>
    </row>
    <row r="24" spans="1:10" s="3" customFormat="1" ht="16" x14ac:dyDescent="0.2">
      <c r="A24" s="22" t="s">
        <v>74</v>
      </c>
      <c r="B24" s="3">
        <v>1509</v>
      </c>
      <c r="C24" s="7">
        <v>495.34</v>
      </c>
      <c r="D24" s="7"/>
      <c r="E24" s="7"/>
      <c r="G24" s="7">
        <f t="shared" si="1"/>
        <v>495.34</v>
      </c>
      <c r="I24"/>
    </row>
    <row r="25" spans="1:10" s="3" customFormat="1" x14ac:dyDescent="0.2">
      <c r="A25"/>
      <c r="C25" s="25">
        <f>SUM(C10:C24)</f>
        <v>33619.467066297322</v>
      </c>
      <c r="D25" s="25">
        <f t="shared" ref="D25:G25" si="2">SUM(D10:D24)</f>
        <v>0</v>
      </c>
      <c r="E25" s="25">
        <f t="shared" si="2"/>
        <v>177.82389938647736</v>
      </c>
      <c r="F25" s="25">
        <f t="shared" si="2"/>
        <v>0</v>
      </c>
      <c r="G25" s="25">
        <f t="shared" si="2"/>
        <v>33441.64316691085</v>
      </c>
      <c r="I25"/>
    </row>
    <row r="26" spans="1:10" s="3" customFormat="1" ht="16" thickBot="1" x14ac:dyDescent="0.25">
      <c r="C26" s="26">
        <f>C8+C25</f>
        <v>33917.452873110677</v>
      </c>
      <c r="D26" s="26">
        <f>D8+D25</f>
        <v>0</v>
      </c>
      <c r="E26" s="26">
        <f>E8+E25</f>
        <v>216.96565478808668</v>
      </c>
      <c r="F26" s="26">
        <f>F8+F25</f>
        <v>0</v>
      </c>
      <c r="G26" s="26">
        <f>G8+G25</f>
        <v>33700.487218322589</v>
      </c>
      <c r="I26"/>
    </row>
    <row r="27" spans="1:10" s="3" customFormat="1" ht="16" thickTop="1" x14ac:dyDescent="0.2">
      <c r="A27"/>
      <c r="C27" s="7"/>
      <c r="D27" s="7"/>
      <c r="E27" s="7"/>
      <c r="F27" s="7"/>
      <c r="G27" s="7"/>
      <c r="I27"/>
    </row>
    <row r="31" spans="1:10" s="3" customFormat="1" x14ac:dyDescent="0.2">
      <c r="A31"/>
      <c r="C31"/>
      <c r="D31"/>
      <c r="E31"/>
      <c r="F31"/>
      <c r="G31"/>
      <c r="I31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96F9A-263A-4D37-8CB3-5C9E5D3A4F99}">
  <dimension ref="A1:J31"/>
  <sheetViews>
    <sheetView zoomScaleNormal="100" workbookViewId="0">
      <selection activeCell="G7" sqref="G7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9" ht="19" x14ac:dyDescent="0.25">
      <c r="A1" s="1" t="s">
        <v>0</v>
      </c>
      <c r="B1" s="24" t="s">
        <v>72</v>
      </c>
      <c r="H1" s="2"/>
      <c r="I1" s="1"/>
    </row>
    <row r="2" spans="1:9" x14ac:dyDescent="0.2">
      <c r="A2" s="8" t="s">
        <v>18</v>
      </c>
    </row>
    <row r="3" spans="1:9" x14ac:dyDescent="0.2">
      <c r="A3" s="14">
        <v>44255</v>
      </c>
      <c r="B3" s="3">
        <v>28</v>
      </c>
      <c r="H3" s="5"/>
      <c r="I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9" ht="15.75" customHeight="1" x14ac:dyDescent="0.2">
      <c r="A5" s="8" t="s">
        <v>1</v>
      </c>
      <c r="C5" s="7"/>
      <c r="D5" s="7"/>
      <c r="E5" s="7"/>
      <c r="F5" s="7"/>
      <c r="G5" s="7"/>
    </row>
    <row r="6" spans="1:9" x14ac:dyDescent="0.2">
      <c r="A6" t="s">
        <v>55</v>
      </c>
      <c r="B6" s="3">
        <f>122-30-31-31-30</f>
        <v>0</v>
      </c>
      <c r="C6" s="7">
        <v>3.41085271317354E-3</v>
      </c>
      <c r="D6" s="7"/>
      <c r="E6" s="7"/>
      <c r="F6" s="7"/>
      <c r="G6" s="7">
        <f t="shared" ref="G6" si="0">+C6+D6-E6</f>
        <v>3.41085271317354E-3</v>
      </c>
    </row>
    <row r="7" spans="1:9" x14ac:dyDescent="0.2">
      <c r="A7" t="s">
        <v>56</v>
      </c>
      <c r="B7" s="3">
        <f>236-31-30-31-31-28</f>
        <v>85</v>
      </c>
      <c r="C7" s="7">
        <v>338.09541080149381</v>
      </c>
      <c r="D7" s="7"/>
      <c r="E7" s="7">
        <f>C7/236*B3</f>
        <v>40.1130148408552</v>
      </c>
      <c r="F7" s="7"/>
      <c r="G7" s="7">
        <f>+C7+D7-E7-F7</f>
        <v>297.9823959606386</v>
      </c>
    </row>
    <row r="8" spans="1:9" ht="16" thickBot="1" x14ac:dyDescent="0.25">
      <c r="C8" s="11">
        <f>SUM(C6:C7)</f>
        <v>338.09882165420697</v>
      </c>
      <c r="D8" s="11">
        <f>SUM(D6:D7)</f>
        <v>0</v>
      </c>
      <c r="E8" s="11">
        <f>SUM(E6:E7)</f>
        <v>40.1130148408552</v>
      </c>
      <c r="F8" s="11">
        <f>SUM(F6:F7)</f>
        <v>0</v>
      </c>
      <c r="G8" s="11">
        <f>SUM(G6:G7)</f>
        <v>297.98580681335176</v>
      </c>
    </row>
    <row r="9" spans="1:9" x14ac:dyDescent="0.2">
      <c r="A9" s="8" t="s">
        <v>17</v>
      </c>
      <c r="C9" s="7"/>
      <c r="D9" s="7"/>
      <c r="E9" s="7"/>
      <c r="F9" s="7"/>
      <c r="G9" s="7"/>
    </row>
    <row r="10" spans="1:9" x14ac:dyDescent="0.2">
      <c r="A10" s="8" t="s">
        <v>82</v>
      </c>
      <c r="C10" s="7"/>
      <c r="D10" s="7">
        <v>10000</v>
      </c>
      <c r="E10" s="7"/>
      <c r="F10" s="7"/>
      <c r="G10" s="7">
        <f>C10+D10-E10</f>
        <v>10000</v>
      </c>
    </row>
    <row r="11" spans="1:9" s="3" customFormat="1" ht="32" x14ac:dyDescent="0.2">
      <c r="A11" s="23" t="s">
        <v>58</v>
      </c>
      <c r="C11" s="7">
        <v>1007.57</v>
      </c>
      <c r="D11" s="7"/>
      <c r="E11" s="7"/>
      <c r="F11" s="7"/>
      <c r="G11" s="7">
        <f>C11+D11-E11</f>
        <v>1007.57</v>
      </c>
      <c r="I11"/>
    </row>
    <row r="12" spans="1:9" s="3" customFormat="1" ht="16" x14ac:dyDescent="0.2">
      <c r="A12" s="22" t="s">
        <v>53</v>
      </c>
      <c r="C12" s="7">
        <v>5817.19</v>
      </c>
      <c r="D12" s="7"/>
      <c r="E12" s="7"/>
      <c r="F12" s="7"/>
      <c r="G12" s="7">
        <f t="shared" ref="G12:G24" si="1">C12+D12-E12</f>
        <v>5817.19</v>
      </c>
      <c r="I12"/>
    </row>
    <row r="13" spans="1:9" s="3" customFormat="1" ht="32" x14ac:dyDescent="0.2">
      <c r="A13" s="22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9" s="3" customFormat="1" ht="16" x14ac:dyDescent="0.2">
      <c r="A14" s="22" t="s">
        <v>75</v>
      </c>
      <c r="C14" s="7">
        <v>13850.12</v>
      </c>
      <c r="D14" s="7"/>
      <c r="E14" s="7"/>
      <c r="F14" s="7"/>
      <c r="G14" s="7">
        <f t="shared" si="1"/>
        <v>13850.12</v>
      </c>
      <c r="I14"/>
    </row>
    <row r="15" spans="1:9" s="3" customFormat="1" ht="16" x14ac:dyDescent="0.2">
      <c r="A15" s="22" t="s">
        <v>77</v>
      </c>
      <c r="B15" s="3">
        <v>122</v>
      </c>
      <c r="C15" s="7">
        <v>153.75</v>
      </c>
      <c r="D15" s="7"/>
      <c r="E15" s="7"/>
      <c r="F15" s="7"/>
      <c r="G15" s="7">
        <f t="shared" si="1"/>
        <v>153.75</v>
      </c>
      <c r="I15"/>
    </row>
    <row r="16" spans="1:9" s="3" customFormat="1" ht="16" x14ac:dyDescent="0.2">
      <c r="A16" s="22" t="s">
        <v>78</v>
      </c>
      <c r="B16" s="3">
        <v>365</v>
      </c>
      <c r="C16" s="7">
        <v>251.88</v>
      </c>
      <c r="D16" s="7"/>
      <c r="E16" s="7"/>
      <c r="F16" s="7"/>
      <c r="G16" s="7">
        <f t="shared" si="1"/>
        <v>251.88</v>
      </c>
      <c r="I16"/>
    </row>
    <row r="17" spans="1:10" s="3" customFormat="1" ht="16" x14ac:dyDescent="0.2">
      <c r="A17" s="22" t="s">
        <v>79</v>
      </c>
      <c r="B17" s="3">
        <v>365</v>
      </c>
      <c r="C17" s="7">
        <v>251.88</v>
      </c>
      <c r="D17" s="7"/>
      <c r="E17" s="7"/>
      <c r="F17" s="7"/>
      <c r="G17" s="7">
        <f t="shared" si="1"/>
        <v>251.88</v>
      </c>
      <c r="I17"/>
    </row>
    <row r="18" spans="1:10" s="3" customFormat="1" ht="16" x14ac:dyDescent="0.2">
      <c r="A18" s="22" t="s">
        <v>81</v>
      </c>
      <c r="B18" s="3">
        <v>122</v>
      </c>
      <c r="C18" s="7">
        <v>83.96</v>
      </c>
      <c r="D18" s="7"/>
      <c r="E18" s="7"/>
      <c r="F18" s="7"/>
      <c r="G18" s="7">
        <f t="shared" si="1"/>
        <v>83.96</v>
      </c>
      <c r="I18"/>
    </row>
    <row r="19" spans="1:10" s="3" customFormat="1" ht="16" x14ac:dyDescent="0.2">
      <c r="A19" s="22" t="s">
        <v>64</v>
      </c>
      <c r="B19" s="3">
        <f>251-30-31-30-31-31-28</f>
        <v>70</v>
      </c>
      <c r="C19" s="7">
        <v>56.09374501992032</v>
      </c>
      <c r="D19" s="7"/>
      <c r="E19" s="7">
        <f>145.16/251*B3</f>
        <v>16.193147410358566</v>
      </c>
      <c r="G19" s="7">
        <f t="shared" si="1"/>
        <v>39.900597609561757</v>
      </c>
      <c r="I19"/>
      <c r="J19" s="7"/>
    </row>
    <row r="20" spans="1:10" s="3" customFormat="1" ht="16" x14ac:dyDescent="0.2">
      <c r="A20" s="22" t="s">
        <v>69</v>
      </c>
      <c r="B20" s="3">
        <f>317-30-31-30-31-31-28</f>
        <v>136</v>
      </c>
      <c r="C20" s="7">
        <v>102.8432807570978</v>
      </c>
      <c r="D20" s="7"/>
      <c r="E20" s="7">
        <f>200/317*B3</f>
        <v>17.665615141955836</v>
      </c>
      <c r="G20" s="7">
        <f t="shared" si="1"/>
        <v>85.177665615141962</v>
      </c>
      <c r="I20"/>
      <c r="J20" s="7"/>
    </row>
    <row r="21" spans="1:10" s="3" customFormat="1" ht="16" x14ac:dyDescent="0.2">
      <c r="A21" s="22" t="s">
        <v>68</v>
      </c>
      <c r="B21" s="3">
        <f>297-30-31-30-31-31-28</f>
        <v>116</v>
      </c>
      <c r="C21" s="7">
        <v>448.55249158249148</v>
      </c>
      <c r="D21" s="7"/>
      <c r="E21" s="7">
        <f>931.61/297*B3</f>
        <v>87.828552188552194</v>
      </c>
      <c r="G21" s="7">
        <f t="shared" si="1"/>
        <v>360.7239393939393</v>
      </c>
      <c r="I21"/>
      <c r="J21" s="7"/>
    </row>
    <row r="22" spans="1:10" s="3" customFormat="1" ht="16" x14ac:dyDescent="0.2">
      <c r="A22" s="22" t="s">
        <v>63</v>
      </c>
      <c r="B22" s="3">
        <f>309-30-31-30-31-31-28</f>
        <v>128</v>
      </c>
      <c r="C22" s="7">
        <v>69.642135922330084</v>
      </c>
      <c r="D22" s="7"/>
      <c r="E22" s="7">
        <f>138.84/309*B3</f>
        <v>12.580970873786409</v>
      </c>
      <c r="G22" s="7">
        <f t="shared" si="1"/>
        <v>57.061165048543671</v>
      </c>
      <c r="I22"/>
      <c r="J22" s="7"/>
    </row>
    <row r="23" spans="1:10" s="3" customFormat="1" ht="16" x14ac:dyDescent="0.2">
      <c r="A23" s="22" t="s">
        <v>73</v>
      </c>
      <c r="B23" s="3">
        <f>365-31-30-31-30-31-31-28</f>
        <v>153</v>
      </c>
      <c r="C23" s="7">
        <v>169.53054794520551</v>
      </c>
      <c r="D23" s="7"/>
      <c r="E23" s="7">
        <f>343.45/365*B3</f>
        <v>26.346849315068493</v>
      </c>
      <c r="G23" s="7">
        <f t="shared" si="1"/>
        <v>143.18369863013703</v>
      </c>
      <c r="I23"/>
    </row>
    <row r="24" spans="1:10" s="3" customFormat="1" ht="16" x14ac:dyDescent="0.2">
      <c r="A24" s="22" t="s">
        <v>74</v>
      </c>
      <c r="B24" s="3">
        <v>1509</v>
      </c>
      <c r="C24" s="7">
        <v>495.34</v>
      </c>
      <c r="D24" s="7"/>
      <c r="E24" s="7"/>
      <c r="G24" s="7">
        <f t="shared" si="1"/>
        <v>495.34</v>
      </c>
      <c r="I24"/>
    </row>
    <row r="25" spans="1:10" s="3" customFormat="1" x14ac:dyDescent="0.2">
      <c r="A25"/>
      <c r="C25" s="25">
        <f>SUM(C10:C24)</f>
        <v>23780.082201227047</v>
      </c>
      <c r="D25" s="25">
        <f t="shared" ref="D25:G25" si="2">SUM(D10:D24)</f>
        <v>10000</v>
      </c>
      <c r="E25" s="25">
        <f t="shared" si="2"/>
        <v>160.61513492972148</v>
      </c>
      <c r="F25" s="25">
        <f t="shared" si="2"/>
        <v>0</v>
      </c>
      <c r="G25" s="25">
        <f t="shared" si="2"/>
        <v>33619.467066297322</v>
      </c>
      <c r="I25"/>
    </row>
    <row r="26" spans="1:10" s="3" customFormat="1" ht="16" thickBot="1" x14ac:dyDescent="0.25">
      <c r="C26" s="26">
        <f>C8+C25</f>
        <v>24118.181022881254</v>
      </c>
      <c r="D26" s="26">
        <f>D8+D25</f>
        <v>10000</v>
      </c>
      <c r="E26" s="26">
        <f>E8+E25</f>
        <v>200.72814977057669</v>
      </c>
      <c r="F26" s="26">
        <f>F8+F25</f>
        <v>0</v>
      </c>
      <c r="G26" s="26">
        <f>G8+G25</f>
        <v>33917.452873110677</v>
      </c>
      <c r="I26"/>
    </row>
    <row r="27" spans="1:10" s="3" customFormat="1" ht="16" thickTop="1" x14ac:dyDescent="0.2">
      <c r="A27"/>
      <c r="C27" s="7"/>
      <c r="D27" s="7"/>
      <c r="E27" s="7"/>
      <c r="F27" s="7"/>
      <c r="G27" s="7"/>
      <c r="I27"/>
    </row>
    <row r="31" spans="1:10" s="3" customFormat="1" x14ac:dyDescent="0.2">
      <c r="A31"/>
      <c r="C31"/>
      <c r="D31"/>
      <c r="E31"/>
      <c r="F31"/>
      <c r="G31"/>
      <c r="I31"/>
    </row>
  </sheetData>
  <pageMargins left="0.5" right="0.5" top="1" bottom="0.75" header="0.5" footer="0.5"/>
  <pageSetup scale="81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052E1-0350-4663-A2C1-EE41D87E4EE7}">
  <dimension ref="A1:J33"/>
  <sheetViews>
    <sheetView zoomScaleNormal="100" workbookViewId="0">
      <selection activeCell="G10" sqref="G10:G24"/>
    </sheetView>
  </sheetViews>
  <sheetFormatPr baseColWidth="10" defaultColWidth="8.83203125" defaultRowHeight="15" outlineLevelCol="1" x14ac:dyDescent="0.2"/>
  <cols>
    <col min="1" max="1" width="54.6640625" customWidth="1"/>
    <col min="2" max="2" width="5.6640625" style="3" customWidth="1"/>
    <col min="3" max="5" width="12.6640625" customWidth="1"/>
    <col min="6" max="6" width="12.6640625" hidden="1" customWidth="1" outlineLevel="1"/>
    <col min="7" max="7" width="12.6640625" customWidth="1" collapsed="1"/>
    <col min="8" max="8" width="5.6640625" style="3" customWidth="1"/>
    <col min="9" max="9" width="5.6640625" customWidth="1"/>
  </cols>
  <sheetData>
    <row r="1" spans="1:9" ht="19" x14ac:dyDescent="0.25">
      <c r="A1" s="1" t="s">
        <v>0</v>
      </c>
      <c r="B1" s="24" t="s">
        <v>72</v>
      </c>
      <c r="H1" s="2"/>
      <c r="I1" s="1"/>
    </row>
    <row r="2" spans="1:9" x14ac:dyDescent="0.2">
      <c r="A2" s="8" t="s">
        <v>18</v>
      </c>
    </row>
    <row r="3" spans="1:9" x14ac:dyDescent="0.2">
      <c r="A3" s="14">
        <v>44227</v>
      </c>
      <c r="B3" s="3">
        <v>31</v>
      </c>
      <c r="H3" s="5"/>
      <c r="I3" s="4"/>
    </row>
    <row r="4" spans="1:9" x14ac:dyDescent="0.2">
      <c r="B4" s="3" t="s">
        <v>57</v>
      </c>
      <c r="C4" s="6" t="s">
        <v>3</v>
      </c>
      <c r="D4" s="6" t="s">
        <v>4</v>
      </c>
      <c r="E4" s="6" t="s">
        <v>5</v>
      </c>
      <c r="F4" s="6" t="s">
        <v>66</v>
      </c>
      <c r="G4" s="6" t="s">
        <v>6</v>
      </c>
      <c r="H4" s="3" t="s">
        <v>2</v>
      </c>
    </row>
    <row r="5" spans="1:9" ht="15.75" customHeight="1" x14ac:dyDescent="0.2">
      <c r="A5" s="8" t="s">
        <v>1</v>
      </c>
      <c r="C5" s="7"/>
      <c r="D5" s="7"/>
      <c r="E5" s="7"/>
      <c r="F5" s="7"/>
      <c r="G5" s="7"/>
    </row>
    <row r="6" spans="1:9" x14ac:dyDescent="0.2">
      <c r="A6" t="s">
        <v>55</v>
      </c>
      <c r="B6" s="3">
        <f>122-30-31-31-30</f>
        <v>0</v>
      </c>
      <c r="C6" s="7">
        <v>3.41085271317354E-3</v>
      </c>
      <c r="D6" s="7"/>
      <c r="E6" s="7"/>
      <c r="F6" s="7"/>
      <c r="G6" s="7">
        <f t="shared" ref="G6" si="0">+C6+D6-E6</f>
        <v>3.41085271317354E-3</v>
      </c>
    </row>
    <row r="7" spans="1:9" x14ac:dyDescent="0.2">
      <c r="A7" t="s">
        <v>56</v>
      </c>
      <c r="B7" s="3">
        <f>236-31-30-31-31</f>
        <v>113</v>
      </c>
      <c r="C7" s="7">
        <v>389.22203389830509</v>
      </c>
      <c r="D7" s="7"/>
      <c r="E7" s="7">
        <f>C7/236*B3</f>
        <v>51.126623096811258</v>
      </c>
      <c r="F7" s="7"/>
      <c r="G7" s="7">
        <f>+C7+D7-E7-F7</f>
        <v>338.09541080149381</v>
      </c>
    </row>
    <row r="8" spans="1:9" ht="16" thickBot="1" x14ac:dyDescent="0.25">
      <c r="C8" s="11">
        <f>SUM(C6:C7)</f>
        <v>389.22544475101824</v>
      </c>
      <c r="D8" s="11">
        <f>SUM(D6:D7)</f>
        <v>0</v>
      </c>
      <c r="E8" s="11">
        <f>SUM(E6:E7)</f>
        <v>51.126623096811258</v>
      </c>
      <c r="F8" s="11">
        <f>SUM(F6:F7)</f>
        <v>0</v>
      </c>
      <c r="G8" s="11">
        <f>SUM(G6:G7)</f>
        <v>338.09882165420697</v>
      </c>
    </row>
    <row r="9" spans="1:9" x14ac:dyDescent="0.2">
      <c r="A9" s="8" t="s">
        <v>17</v>
      </c>
      <c r="C9" s="7"/>
      <c r="D9" s="7"/>
      <c r="E9" s="7"/>
      <c r="F9" s="7"/>
      <c r="G9" s="7"/>
    </row>
    <row r="10" spans="1:9" s="3" customFormat="1" ht="32" x14ac:dyDescent="0.2">
      <c r="A10" s="22" t="s">
        <v>54</v>
      </c>
      <c r="C10" s="7">
        <v>5000</v>
      </c>
      <c r="D10" s="7"/>
      <c r="E10" s="7">
        <v>5000</v>
      </c>
      <c r="F10" s="7"/>
      <c r="G10" s="21">
        <f t="shared" ref="G10:G24" si="1">C10+D10-E10</f>
        <v>0</v>
      </c>
      <c r="H10" s="3" t="s">
        <v>70</v>
      </c>
    </row>
    <row r="11" spans="1:9" s="3" customFormat="1" ht="32" x14ac:dyDescent="0.2">
      <c r="A11" s="23" t="s">
        <v>58</v>
      </c>
      <c r="C11" s="7">
        <v>1007.57</v>
      </c>
      <c r="D11" s="7"/>
      <c r="E11" s="7"/>
      <c r="F11" s="7"/>
      <c r="G11" s="7">
        <f>C11+D11-E11</f>
        <v>1007.57</v>
      </c>
      <c r="I11"/>
    </row>
    <row r="12" spans="1:9" s="3" customFormat="1" ht="16" x14ac:dyDescent="0.2">
      <c r="A12" s="22" t="s">
        <v>53</v>
      </c>
      <c r="C12" s="7">
        <v>5817.19</v>
      </c>
      <c r="D12" s="7"/>
      <c r="E12" s="7"/>
      <c r="F12" s="7"/>
      <c r="G12" s="7">
        <f t="shared" si="1"/>
        <v>5817.19</v>
      </c>
      <c r="I12"/>
    </row>
    <row r="13" spans="1:9" s="3" customFormat="1" ht="32" x14ac:dyDescent="0.2">
      <c r="A13" s="22" t="s">
        <v>52</v>
      </c>
      <c r="C13" s="7">
        <v>1021.73</v>
      </c>
      <c r="D13" s="7"/>
      <c r="E13" s="7"/>
      <c r="F13" s="7"/>
      <c r="G13" s="7">
        <f t="shared" si="1"/>
        <v>1021.73</v>
      </c>
      <c r="I13"/>
    </row>
    <row r="14" spans="1:9" s="3" customFormat="1" ht="16" x14ac:dyDescent="0.2">
      <c r="A14" s="22" t="s">
        <v>75</v>
      </c>
      <c r="C14" s="7">
        <v>13850.12</v>
      </c>
      <c r="D14" s="7"/>
      <c r="E14" s="7"/>
      <c r="F14" s="7"/>
      <c r="G14" s="7">
        <f t="shared" si="1"/>
        <v>13850.12</v>
      </c>
      <c r="I14"/>
    </row>
    <row r="15" spans="1:9" s="3" customFormat="1" ht="16" x14ac:dyDescent="0.2">
      <c r="A15" s="22" t="s">
        <v>77</v>
      </c>
      <c r="B15" s="3">
        <v>122</v>
      </c>
      <c r="C15" s="7"/>
      <c r="D15" s="7">
        <v>153.75</v>
      </c>
      <c r="E15" s="7"/>
      <c r="F15" s="7"/>
      <c r="G15" s="7">
        <f t="shared" si="1"/>
        <v>153.75</v>
      </c>
      <c r="I15"/>
    </row>
    <row r="16" spans="1:9" s="3" customFormat="1" ht="16" x14ac:dyDescent="0.2">
      <c r="A16" s="22" t="s">
        <v>78</v>
      </c>
      <c r="B16" s="3">
        <v>365</v>
      </c>
      <c r="C16" s="7"/>
      <c r="D16" s="7">
        <v>251.88</v>
      </c>
      <c r="E16" s="7"/>
      <c r="F16" s="7"/>
      <c r="G16" s="7">
        <f t="shared" si="1"/>
        <v>251.88</v>
      </c>
      <c r="I16"/>
    </row>
    <row r="17" spans="1:10" s="3" customFormat="1" ht="16" x14ac:dyDescent="0.2">
      <c r="A17" s="22" t="s">
        <v>79</v>
      </c>
      <c r="B17" s="3">
        <v>365</v>
      </c>
      <c r="C17" s="7"/>
      <c r="D17" s="7">
        <v>251.88</v>
      </c>
      <c r="E17" s="7"/>
      <c r="F17" s="7"/>
      <c r="G17" s="7">
        <f t="shared" si="1"/>
        <v>251.88</v>
      </c>
      <c r="I17"/>
    </row>
    <row r="18" spans="1:10" s="3" customFormat="1" ht="16" x14ac:dyDescent="0.2">
      <c r="A18" s="22" t="s">
        <v>80</v>
      </c>
      <c r="B18" s="3">
        <v>122</v>
      </c>
      <c r="C18" s="7"/>
      <c r="D18" s="7">
        <v>83.96</v>
      </c>
      <c r="E18" s="7"/>
      <c r="F18" s="7"/>
      <c r="G18" s="7">
        <f t="shared" si="1"/>
        <v>83.96</v>
      </c>
      <c r="I18"/>
    </row>
    <row r="19" spans="1:10" s="3" customFormat="1" ht="16" x14ac:dyDescent="0.2">
      <c r="A19" s="22" t="s">
        <v>64</v>
      </c>
      <c r="B19" s="3">
        <f>251-30-31-30-31-31</f>
        <v>98</v>
      </c>
      <c r="C19" s="7">
        <v>74.021872509960161</v>
      </c>
      <c r="D19" s="7"/>
      <c r="E19" s="7">
        <f>145.16/251*B3</f>
        <v>17.928127490039842</v>
      </c>
      <c r="G19" s="7">
        <f t="shared" si="1"/>
        <v>56.09374501992032</v>
      </c>
      <c r="I19"/>
      <c r="J19" s="7"/>
    </row>
    <row r="20" spans="1:10" s="3" customFormat="1" ht="16" x14ac:dyDescent="0.2">
      <c r="A20" s="22" t="s">
        <v>69</v>
      </c>
      <c r="B20" s="3">
        <f>317-30-31-30-31-31</f>
        <v>164</v>
      </c>
      <c r="C20" s="7">
        <v>122.4016403785489</v>
      </c>
      <c r="D20" s="7"/>
      <c r="E20" s="7">
        <f>200/317*B3</f>
        <v>19.558359621451103</v>
      </c>
      <c r="G20" s="7">
        <f t="shared" si="1"/>
        <v>102.8432807570978</v>
      </c>
      <c r="I20"/>
      <c r="J20" s="7"/>
    </row>
    <row r="21" spans="1:10" s="3" customFormat="1" ht="16" x14ac:dyDescent="0.2">
      <c r="A21" s="22" t="s">
        <v>68</v>
      </c>
      <c r="B21" s="3">
        <f>297-30-31-30-31-31</f>
        <v>144</v>
      </c>
      <c r="C21" s="7">
        <v>545.79124579124573</v>
      </c>
      <c r="D21" s="7"/>
      <c r="E21" s="7">
        <f>931.61/297*B3</f>
        <v>97.238754208754216</v>
      </c>
      <c r="G21" s="7">
        <f t="shared" si="1"/>
        <v>448.55249158249148</v>
      </c>
      <c r="I21"/>
      <c r="J21" s="7"/>
    </row>
    <row r="22" spans="1:10" s="3" customFormat="1" ht="16" x14ac:dyDescent="0.2">
      <c r="A22" s="22" t="s">
        <v>63</v>
      </c>
      <c r="B22" s="3">
        <f>309-30-31-30-31-31</f>
        <v>156</v>
      </c>
      <c r="C22" s="7">
        <v>83.571067961165042</v>
      </c>
      <c r="D22" s="7"/>
      <c r="E22" s="7">
        <f>138.84/309*B3</f>
        <v>13.928932038834953</v>
      </c>
      <c r="G22" s="7">
        <f t="shared" si="1"/>
        <v>69.642135922330084</v>
      </c>
      <c r="I22"/>
      <c r="J22" s="7"/>
    </row>
    <row r="23" spans="1:10" s="3" customFormat="1" ht="16" x14ac:dyDescent="0.2">
      <c r="A23" s="22" t="s">
        <v>73</v>
      </c>
      <c r="B23" s="3">
        <f>365-31-30-31-30-31-31</f>
        <v>181</v>
      </c>
      <c r="C23" s="7">
        <v>198.70027397260276</v>
      </c>
      <c r="D23" s="7"/>
      <c r="E23" s="7">
        <f>343.45/365*B3</f>
        <v>29.16972602739726</v>
      </c>
      <c r="G23" s="7">
        <f t="shared" si="1"/>
        <v>169.53054794520551</v>
      </c>
      <c r="I23"/>
    </row>
    <row r="24" spans="1:10" s="3" customFormat="1" ht="16" x14ac:dyDescent="0.2">
      <c r="A24" s="22" t="s">
        <v>74</v>
      </c>
      <c r="B24" s="3">
        <v>1509</v>
      </c>
      <c r="C24" s="7">
        <v>495.34</v>
      </c>
      <c r="D24" s="7"/>
      <c r="E24" s="7"/>
      <c r="G24" s="7">
        <f t="shared" si="1"/>
        <v>495.34</v>
      </c>
      <c r="I24"/>
    </row>
    <row r="25" spans="1:10" s="3" customFormat="1" ht="16" thickBot="1" x14ac:dyDescent="0.25">
      <c r="A25"/>
      <c r="C25" s="13">
        <f>SUM(C8:C24)</f>
        <v>28605.661545364543</v>
      </c>
      <c r="D25" s="13">
        <f>SUM(D8:D24)</f>
        <v>741.47</v>
      </c>
      <c r="E25" s="13">
        <f>SUM(E8:E24)</f>
        <v>5228.9505224832892</v>
      </c>
      <c r="F25" s="13">
        <f t="shared" ref="F25" si="2">SUM(F8:F24)</f>
        <v>0</v>
      </c>
      <c r="G25" s="13">
        <f>SUM(G8:G24)</f>
        <v>24118.181022881254</v>
      </c>
      <c r="I25"/>
    </row>
    <row r="26" spans="1:10" s="3" customFormat="1" ht="16" thickTop="1" x14ac:dyDescent="0.2">
      <c r="C26" s="7"/>
      <c r="D26" s="7"/>
      <c r="E26" s="7">
        <f>E25-E8</f>
        <v>5177.8238993864779</v>
      </c>
      <c r="F26" s="7"/>
      <c r="G26" s="7"/>
      <c r="I26"/>
    </row>
    <row r="27" spans="1:10" s="3" customFormat="1" ht="16" x14ac:dyDescent="0.2">
      <c r="A27" s="22" t="s">
        <v>71</v>
      </c>
      <c r="C27" s="7"/>
      <c r="D27" s="7"/>
      <c r="F27" s="7"/>
      <c r="G27" s="7"/>
      <c r="I27"/>
    </row>
    <row r="28" spans="1:10" s="3" customFormat="1" x14ac:dyDescent="0.2">
      <c r="A28" s="20" t="s">
        <v>76</v>
      </c>
      <c r="C28" s="7"/>
      <c r="D28" s="7"/>
      <c r="E28" s="7"/>
      <c r="F28" s="7"/>
      <c r="G28" s="7"/>
      <c r="I28"/>
    </row>
    <row r="29" spans="1:10" s="3" customFormat="1" x14ac:dyDescent="0.2">
      <c r="A29"/>
      <c r="C29" s="7"/>
      <c r="D29" s="7"/>
      <c r="E29" s="7"/>
      <c r="F29" s="7"/>
      <c r="G29" s="7"/>
      <c r="I29"/>
    </row>
    <row r="33" spans="1:9" s="3" customFormat="1" x14ac:dyDescent="0.2">
      <c r="A33"/>
      <c r="C33"/>
      <c r="D33"/>
      <c r="E33"/>
      <c r="F33"/>
      <c r="G33"/>
      <c r="I33"/>
    </row>
  </sheetData>
  <phoneticPr fontId="5" type="noConversion"/>
  <pageMargins left="0.5" right="0.5" top="1" bottom="0.75" header="0.5" footer="0.5"/>
  <pageSetup scale="81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14</vt:i4>
      </vt:variant>
    </vt:vector>
  </HeadingPairs>
  <TitlesOfParts>
    <vt:vector size="60" baseType="lpstr">
      <vt:lpstr>Sep 2021</vt:lpstr>
      <vt:lpstr>Aug 2021</vt:lpstr>
      <vt:lpstr>July 2021</vt:lpstr>
      <vt:lpstr>Jun 2021</vt:lpstr>
      <vt:lpstr>May 2021</vt:lpstr>
      <vt:lpstr>Apr 2021 </vt:lpstr>
      <vt:lpstr>Mar 2021</vt:lpstr>
      <vt:lpstr>Feb 2021</vt:lpstr>
      <vt:lpstr>Jan 2021</vt:lpstr>
      <vt:lpstr>Dec 2020</vt:lpstr>
      <vt:lpstr>Nov 2020</vt:lpstr>
      <vt:lpstr>Oct 2020</vt:lpstr>
      <vt:lpstr>Sep 2020</vt:lpstr>
      <vt:lpstr>Aug 2020</vt:lpstr>
      <vt:lpstr>July 2020</vt:lpstr>
      <vt:lpstr>June 2020</vt:lpstr>
      <vt:lpstr>May 2020</vt:lpstr>
      <vt:lpstr>Apr 2020</vt:lpstr>
      <vt:lpstr>Mar 2020</vt:lpstr>
      <vt:lpstr>Feb 2020</vt:lpstr>
      <vt:lpstr>Jan 2020</vt:lpstr>
      <vt:lpstr>Dec 2019</vt:lpstr>
      <vt:lpstr>Nov 2019</vt:lpstr>
      <vt:lpstr>Oct 2019</vt:lpstr>
      <vt:lpstr>Sep 2019</vt:lpstr>
      <vt:lpstr>Aug 2019</vt:lpstr>
      <vt:lpstr>July 2019</vt:lpstr>
      <vt:lpstr>June 2019</vt:lpstr>
      <vt:lpstr>May 2019</vt:lpstr>
      <vt:lpstr>Apr 2019</vt:lpstr>
      <vt:lpstr>Mar 2019</vt:lpstr>
      <vt:lpstr>Feb 19</vt:lpstr>
      <vt:lpstr>Jan 19</vt:lpstr>
      <vt:lpstr>Dec</vt:lpstr>
      <vt:lpstr>Nov</vt:lpstr>
      <vt:lpstr>Oct</vt:lpstr>
      <vt:lpstr>Sep</vt:lpstr>
      <vt:lpstr>Aug</vt:lpstr>
      <vt:lpstr>Jul</vt:lpstr>
      <vt:lpstr>Jun</vt:lpstr>
      <vt:lpstr>May</vt:lpstr>
      <vt:lpstr>Apr</vt:lpstr>
      <vt:lpstr>Mar</vt:lpstr>
      <vt:lpstr>Feb</vt:lpstr>
      <vt:lpstr>Jan</vt:lpstr>
      <vt:lpstr>Dec 2017</vt:lpstr>
      <vt:lpstr>'Apr 2021 '!Print_Area</vt:lpstr>
      <vt:lpstr>'Aug 2020'!Print_Area</vt:lpstr>
      <vt:lpstr>'Aug 2021'!Print_Area</vt:lpstr>
      <vt:lpstr>'Dec 2020'!Print_Area</vt:lpstr>
      <vt:lpstr>'Feb 2021'!Print_Area</vt:lpstr>
      <vt:lpstr>'Jan 2021'!Print_Area</vt:lpstr>
      <vt:lpstr>'July 2021'!Print_Area</vt:lpstr>
      <vt:lpstr>'Jun 2021'!Print_Area</vt:lpstr>
      <vt:lpstr>'Mar 2021'!Print_Area</vt:lpstr>
      <vt:lpstr>'May 2021'!Print_Area</vt:lpstr>
      <vt:lpstr>'Nov 2020'!Print_Area</vt:lpstr>
      <vt:lpstr>'Oct 2020'!Print_Area</vt:lpstr>
      <vt:lpstr>'Sep 2020'!Print_Area</vt:lpstr>
      <vt:lpstr>'Sep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Kim-SkillsCanada</dc:creator>
  <cp:lastModifiedBy>Elaine Allan</cp:lastModifiedBy>
  <cp:lastPrinted>2021-10-27T18:14:03Z</cp:lastPrinted>
  <dcterms:created xsi:type="dcterms:W3CDTF">2018-04-22T15:32:20Z</dcterms:created>
  <dcterms:modified xsi:type="dcterms:W3CDTF">2021-10-27T18:20:30Z</dcterms:modified>
</cp:coreProperties>
</file>